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600" windowWidth="9360" windowHeight="11475" tabRatio="687"/>
  </bookViews>
  <sheets>
    <sheet name="2016 Budget" sheetId="5" r:id="rId1"/>
    <sheet name="2016 Capital Impr" sheetId="13" r:id="rId2"/>
    <sheet name="Fund Bal Sum" sheetId="9" r:id="rId3"/>
    <sheet name="2015 projection" sheetId="1" r:id="rId4"/>
    <sheet name="2015 Budget vs Projection" sheetId="12" r:id="rId5"/>
    <sheet name="Payroll" sheetId="6" r:id="rId6"/>
    <sheet name="Acq  Fund" sheetId="7" r:id="rId7"/>
    <sheet name="Water Royalty 2016" sheetId="8" r:id="rId8"/>
    <sheet name="Sheet2" sheetId="2" state="hidden" r:id="rId9"/>
    <sheet name="Sheet3" sheetId="3" state="hidden" r:id="rId10"/>
  </sheets>
  <externalReferences>
    <externalReference r:id="rId11"/>
  </externalReferences>
  <definedNames>
    <definedName name="aa" localSheetId="4">Scheduled_Payment+Extra_Payment</definedName>
    <definedName name="aa" localSheetId="6">Scheduled_Payment+Extra_Payment</definedName>
    <definedName name="aa" localSheetId="2">Scheduled_Payment+Extra_Payment</definedName>
    <definedName name="aa" localSheetId="7">Scheduled_Payment+Extra_Payment</definedName>
    <definedName name="aa">Scheduled_Payment+Extra_Payment</definedName>
    <definedName name="End_Bal">'[1]2mil @ 4% 20 yr'!$I$18:$I$377</definedName>
    <definedName name="Full_Print">'[1]2mil @ 4% 20 yr'!$A$1:$I$377</definedName>
    <definedName name="Header_Row">ROW('[1]2mil @ 4% 20 yr'!$A$17:$IV$17)</definedName>
    <definedName name="Interest_Rate">'[1]2mil @ 4% 20 yr'!$D$7</definedName>
    <definedName name="Last_Row" localSheetId="4">IF('2015 Budget vs Projection'!Values_Entered,Header_Row+'2015 Budget vs Projection'!Number_of_Payments,Header_Row)</definedName>
    <definedName name="Last_Row" localSheetId="6">IF('Acq  Fund'!Values_Entered,Header_Row+'Acq  Fund'!Number_of_Payments,Header_Row)</definedName>
    <definedName name="Last_Row" localSheetId="2">IF('Fund Bal Sum'!Values_Entered,Header_Row+'Fund Bal Sum'!Number_of_Payments,Header_Row)</definedName>
    <definedName name="Last_Row" localSheetId="7">IF('Water Royalty 2016'!Values_Entered,Header_Row+'Water Royalty 2016'!Number_of_Payments,Header_Row)</definedName>
    <definedName name="Last_Row">IF(Values_Entered,Header_Row+Number_of_Payments,Header_Row)</definedName>
    <definedName name="Loan_Amount">'[1]2mil @ 4% 20 yr'!$D$6</definedName>
    <definedName name="Loan_Start">'[1]2mil @ 4% 20 yr'!$D$10</definedName>
    <definedName name="Loan_Years">'[1]2mil @ 4% 20 yr'!$D$8</definedName>
    <definedName name="Number_of_Payments" localSheetId="4">MATCH(0.01,End_Bal,-1)+1</definedName>
    <definedName name="Number_of_Payments" localSheetId="6">MATCH(0.01,End_Bal,-1)+1</definedName>
    <definedName name="Number_of_Payments" localSheetId="2">MATCH(0.01,End_Bal,-1)+1</definedName>
    <definedName name="Number_of_Payments" localSheetId="7">MATCH(0.01,End_Bal,-1)+1</definedName>
    <definedName name="Number_of_Payments">MATCH(0.01,End_Bal,-1)+1</definedName>
    <definedName name="Payment_Date" localSheetId="4">DATE(YEAR(Loan_Start),MONTH(Loan_Start)+Payment_Number,DAY(Loan_Start))</definedName>
    <definedName name="Payment_Date" localSheetId="6">DATE(YEAR([0]!Loan_Start),MONTH([0]!Loan_Start)+Payment_Number,DAY([0]!Loan_Start))</definedName>
    <definedName name="Payment_Date" localSheetId="2">DATE(YEAR(Loan_Start),MONTH(Loan_Start)+Payment_Number,DAY(Loan_Start))</definedName>
    <definedName name="Payment_Date" localSheetId="7">DATE(YEAR(Loan_Start),MONTH(Loan_Start)+Payment_Number,DAY(Loan_Start))</definedName>
    <definedName name="Payment_Date">DATE(YEAR(Loan_Start),MONTH(Loan_Start)+Payment_Number,DAY(Loan_Start))</definedName>
    <definedName name="Print_Area_Reset" localSheetId="4">OFFSET(Full_Print,0,0,'2015 Budget vs Projection'!Last_Row)</definedName>
    <definedName name="Print_Area_Reset" localSheetId="6">OFFSET(Full_Print,0,0,'Acq  Fund'!Last_Row)</definedName>
    <definedName name="Print_Area_Reset" localSheetId="2">OFFSET(Full_Print,0,0,'Fund Bal Sum'!Last_Row)</definedName>
    <definedName name="Print_Area_Reset" localSheetId="7">OFFSET(Full_Print,0,0,'Water Royalty 2016'!Last_Row)</definedName>
    <definedName name="Print_Area_Reset">OFFSET(Full_Print,0,0,Last_Row)</definedName>
    <definedName name="_xlnm.Print_Titles" localSheetId="4">'2015 Budget vs Projection'!$A:$F,'2015 Budget vs Projection'!$1:$1</definedName>
    <definedName name="_xlnm.Print_Titles" localSheetId="3">'2015 projection'!$A:$F,'2015 projection'!$1:$1</definedName>
    <definedName name="_xlnm.Print_Titles" localSheetId="0">'2016 Budget'!$A:$F,'2016 Budget'!$1:$1</definedName>
    <definedName name="qq" localSheetId="4">DATE(YEAR([0]!Loan_Start),MONTH([0]!Loan_Start)+Payment_Number,DAY([0]!Loan_Start))</definedName>
    <definedName name="qq" localSheetId="6">DATE(YEAR([0]!Loan_Start),MONTH([0]!Loan_Start)+Payment_Number,DAY([0]!Loan_Start))</definedName>
    <definedName name="qq" localSheetId="2">DATE(YEAR([0]!Loan_Start),MONTH([0]!Loan_Start)+Payment_Number,DAY([0]!Loan_Start))</definedName>
    <definedName name="qq" localSheetId="7">DATE(YEAR([0]!Loan_Start),MONTH([0]!Loan_Start)+Payment_Number,DAY([0]!Loan_Start))</definedName>
    <definedName name="qq">DATE(YEAR([0]!Loan_Start),MONTH([0]!Loan_Start)+Payment_Number,DAY([0]!Loan_Start))</definedName>
    <definedName name="Total_Payment" localSheetId="4">Scheduled_Payment+Extra_Payment</definedName>
    <definedName name="Total_Payment" localSheetId="6">Scheduled_Payment+Extra_Payment</definedName>
    <definedName name="Total_Payment" localSheetId="2">Scheduled_Payment+Extra_Payment</definedName>
    <definedName name="Total_Payment" localSheetId="7">Scheduled_Payment+Extra_Payment</definedName>
    <definedName name="Total_Payment">Scheduled_Payment+Extra_Payment</definedName>
    <definedName name="Values_Entered" localSheetId="4">IF(Loan_Amount*Interest_Rate*Loan_Years*Loan_Start&gt;0,1,0)</definedName>
    <definedName name="Values_Entered" localSheetId="6">IF(Loan_Amount*Interest_Rate*Loan_Years*Loan_Start&gt;0,1,0)</definedName>
    <definedName name="Values_Entered" localSheetId="2">IF(Loan_Amount*Interest_Rate*Loan_Years*Loan_Start&gt;0,1,0)</definedName>
    <definedName name="Values_Entered" localSheetId="7">IF(Loan_Amount*Interest_Rate*Loan_Years*Loan_Start&gt;0,1,0)</definedName>
    <definedName name="Values_Entered">IF(Loan_Amount*Interest_Rate*Loan_Years*Loan_Start&gt;0,1,0)</definedName>
    <definedName name="w" localSheetId="4">DATE(YEAR([0]!Loan_Start),MONTH([0]!Loan_Start)+Payment_Number,DAY([0]!Loan_Start))</definedName>
    <definedName name="w" localSheetId="6">DATE(YEAR([0]!Loan_Start),MONTH([0]!Loan_Start)+Payment_Number,DAY([0]!Loan_Start))</definedName>
    <definedName name="w" localSheetId="2">DATE(YEAR([0]!Loan_Start),MONTH([0]!Loan_Start)+Payment_Number,DAY([0]!Loan_Start))</definedName>
    <definedName name="w" localSheetId="7">DATE(YEAR([0]!Loan_Start),MONTH([0]!Loan_Start)+Payment_Number,DAY([0]!Loan_Start))</definedName>
    <definedName name="w">DATE(YEAR([0]!Loan_Start),MONTH([0]!Loan_Start)+Payment_Number,DAY([0]!Loan_Start))</definedName>
    <definedName name="ww" localSheetId="4">Scheduled_Payment+Extra_Payment</definedName>
    <definedName name="ww" localSheetId="6">Scheduled_Payment+Extra_Payment</definedName>
    <definedName name="ww" localSheetId="2">Scheduled_Payment+Extra_Payment</definedName>
    <definedName name="ww" localSheetId="7">Scheduled_Payment+Extra_Payment</definedName>
    <definedName name="ww">Scheduled_Payment+Extra_Payment</definedName>
  </definedNames>
  <calcPr calcId="125725"/>
</workbook>
</file>

<file path=xl/calcChain.xml><?xml version="1.0" encoding="utf-8"?>
<calcChain xmlns="http://schemas.openxmlformats.org/spreadsheetml/2006/main">
  <c r="B7" i="9"/>
  <c r="C10" i="13"/>
  <c r="D5" i="9"/>
  <c r="C6"/>
  <c r="D4"/>
  <c r="C4"/>
  <c r="H84" i="12"/>
  <c r="H83"/>
  <c r="H82"/>
  <c r="H65"/>
  <c r="K16" i="7"/>
  <c r="K15"/>
  <c r="K14"/>
  <c r="K13"/>
  <c r="K12"/>
  <c r="K11"/>
  <c r="K10"/>
  <c r="K9"/>
  <c r="K8"/>
  <c r="K7"/>
  <c r="J17"/>
  <c r="I32" i="1"/>
  <c r="I23"/>
  <c r="G22" i="12" s="1"/>
  <c r="I20" i="1"/>
  <c r="H72" i="12"/>
  <c r="H63"/>
  <c r="H23" i="5" l="1"/>
  <c r="I85" i="1"/>
  <c r="G81" i="12" s="1"/>
  <c r="I80" i="1"/>
  <c r="I84"/>
  <c r="I83"/>
  <c r="I82"/>
  <c r="I81"/>
  <c r="I79"/>
  <c r="I73"/>
  <c r="I72"/>
  <c r="I71"/>
  <c r="J5" i="7" s="1"/>
  <c r="K5" s="1"/>
  <c r="I70" i="1"/>
  <c r="J4" i="8" s="1"/>
  <c r="I57" i="1"/>
  <c r="H50"/>
  <c r="G50"/>
  <c r="I63"/>
  <c r="I62"/>
  <c r="I58"/>
  <c r="I56"/>
  <c r="I55"/>
  <c r="I54"/>
  <c r="I53"/>
  <c r="I52"/>
  <c r="I51"/>
  <c r="I49"/>
  <c r="I48"/>
  <c r="I47"/>
  <c r="I46"/>
  <c r="I45"/>
  <c r="I43"/>
  <c r="I42"/>
  <c r="I41"/>
  <c r="I40"/>
  <c r="I39"/>
  <c r="I38"/>
  <c r="I37"/>
  <c r="I36"/>
  <c r="I35"/>
  <c r="I34"/>
  <c r="I33"/>
  <c r="I31"/>
  <c r="I30"/>
  <c r="I29"/>
  <c r="I28"/>
  <c r="I27"/>
  <c r="I22"/>
  <c r="G16"/>
  <c r="I21"/>
  <c r="I19"/>
  <c r="I18"/>
  <c r="I15"/>
  <c r="I14"/>
  <c r="I13"/>
  <c r="I10"/>
  <c r="I9"/>
  <c r="I7"/>
  <c r="I6"/>
  <c r="I5"/>
  <c r="I4"/>
  <c r="I8"/>
  <c r="G99" i="5"/>
  <c r="H8" i="6"/>
  <c r="H7"/>
  <c r="H6"/>
  <c r="H5"/>
  <c r="H4"/>
  <c r="D7" i="9" l="1"/>
  <c r="I102" i="5" s="1"/>
  <c r="J8" i="8"/>
  <c r="I50" i="1"/>
  <c r="B14" i="7"/>
  <c r="L16"/>
  <c r="I17"/>
  <c r="H83" i="5"/>
  <c r="C7" i="9" l="1"/>
  <c r="H102" i="5" s="1"/>
  <c r="K17" i="7"/>
  <c r="C5" i="9"/>
  <c r="I99" i="5"/>
  <c r="B17" i="7"/>
  <c r="H17"/>
  <c r="H100" i="5" l="1"/>
  <c r="G93"/>
  <c r="G79"/>
  <c r="G68"/>
  <c r="G51"/>
  <c r="G63" s="1"/>
  <c r="G16"/>
  <c r="G11"/>
  <c r="H49" i="12"/>
  <c r="H58" s="1"/>
  <c r="H64" s="1"/>
  <c r="H16"/>
  <c r="H11"/>
  <c r="G94" i="5" l="1"/>
  <c r="H17" i="12"/>
  <c r="H23" s="1"/>
  <c r="G69" i="5"/>
  <c r="G17"/>
  <c r="G25" s="1"/>
  <c r="G70" l="1"/>
  <c r="H86" i="1"/>
  <c r="H92" i="5"/>
  <c r="H90"/>
  <c r="H88"/>
  <c r="H87"/>
  <c r="H86"/>
  <c r="H85"/>
  <c r="H75"/>
  <c r="H67"/>
  <c r="H66"/>
  <c r="H59"/>
  <c r="H58"/>
  <c r="H57"/>
  <c r="H56"/>
  <c r="H55"/>
  <c r="H54"/>
  <c r="H53"/>
  <c r="H52"/>
  <c r="H50"/>
  <c r="H49"/>
  <c r="H48"/>
  <c r="H47"/>
  <c r="H46"/>
  <c r="I44" i="1"/>
  <c r="H44" i="5"/>
  <c r="H43"/>
  <c r="H42"/>
  <c r="H41"/>
  <c r="H40"/>
  <c r="H39"/>
  <c r="H38"/>
  <c r="H37"/>
  <c r="H36"/>
  <c r="H35"/>
  <c r="H34"/>
  <c r="H33"/>
  <c r="H32"/>
  <c r="H31"/>
  <c r="H30"/>
  <c r="H29"/>
  <c r="H28"/>
  <c r="H21"/>
  <c r="H20"/>
  <c r="H19"/>
  <c r="H18"/>
  <c r="H15"/>
  <c r="H14"/>
  <c r="H13"/>
  <c r="H10"/>
  <c r="H9"/>
  <c r="H8"/>
  <c r="H5"/>
  <c r="H4"/>
  <c r="H74" l="1"/>
  <c r="H84"/>
  <c r="G21" i="12"/>
  <c r="H22" i="5"/>
  <c r="J22" i="12"/>
  <c r="G71"/>
  <c r="I22"/>
  <c r="I86" i="1"/>
  <c r="G86"/>
  <c r="G74"/>
  <c r="G64"/>
  <c r="G59"/>
  <c r="G11"/>
  <c r="G95" i="5"/>
  <c r="G75" i="1" l="1"/>
  <c r="G87"/>
  <c r="I71" i="12"/>
  <c r="J71"/>
  <c r="G65" i="1"/>
  <c r="H93" i="5"/>
  <c r="G17" i="1"/>
  <c r="G24" s="1"/>
  <c r="G17" i="7"/>
  <c r="F6" i="6"/>
  <c r="I100" i="5" l="1"/>
  <c r="D6" i="9"/>
  <c r="G66" i="1"/>
  <c r="G88" s="1"/>
  <c r="D8" i="9" l="1"/>
  <c r="I103" i="5" s="1"/>
  <c r="I101"/>
  <c r="I81" i="12"/>
  <c r="J81"/>
  <c r="G60"/>
  <c r="H64" i="1"/>
  <c r="H74"/>
  <c r="H75" l="1"/>
  <c r="H87"/>
  <c r="G80" i="12"/>
  <c r="I60" i="1"/>
  <c r="G59" i="12" s="1"/>
  <c r="J59" s="1"/>
  <c r="I80" l="1"/>
  <c r="J80"/>
  <c r="I59"/>
  <c r="G14"/>
  <c r="G13"/>
  <c r="J13" l="1"/>
  <c r="I13"/>
  <c r="I14"/>
  <c r="J14"/>
  <c r="H16" i="1"/>
  <c r="H11"/>
  <c r="H59"/>
  <c r="G77" i="12"/>
  <c r="G76"/>
  <c r="G70"/>
  <c r="G69"/>
  <c r="G62"/>
  <c r="G57"/>
  <c r="I57" s="1"/>
  <c r="G56"/>
  <c r="G55"/>
  <c r="G54"/>
  <c r="G53"/>
  <c r="G52"/>
  <c r="G51"/>
  <c r="G50"/>
  <c r="G48"/>
  <c r="G47"/>
  <c r="G46"/>
  <c r="G45"/>
  <c r="G44"/>
  <c r="G42"/>
  <c r="G41"/>
  <c r="G40"/>
  <c r="G39"/>
  <c r="G38"/>
  <c r="G37"/>
  <c r="G36"/>
  <c r="G35"/>
  <c r="G34"/>
  <c r="G33"/>
  <c r="G32"/>
  <c r="G31"/>
  <c r="G30"/>
  <c r="G29"/>
  <c r="G28"/>
  <c r="G27"/>
  <c r="G26"/>
  <c r="G20"/>
  <c r="G19"/>
  <c r="G18"/>
  <c r="G15"/>
  <c r="I15" s="1"/>
  <c r="G10"/>
  <c r="G9"/>
  <c r="G8"/>
  <c r="G5"/>
  <c r="G82" l="1"/>
  <c r="J82" s="1"/>
  <c r="I5"/>
  <c r="J5"/>
  <c r="J10"/>
  <c r="I10"/>
  <c r="J18"/>
  <c r="I18"/>
  <c r="J20"/>
  <c r="I20"/>
  <c r="J26"/>
  <c r="I26"/>
  <c r="J28"/>
  <c r="I28"/>
  <c r="J30"/>
  <c r="I30"/>
  <c r="J34"/>
  <c r="I34"/>
  <c r="J36"/>
  <c r="I36"/>
  <c r="J38"/>
  <c r="I38"/>
  <c r="J40"/>
  <c r="I40"/>
  <c r="J42"/>
  <c r="I42"/>
  <c r="J45"/>
  <c r="I45"/>
  <c r="J47"/>
  <c r="I47"/>
  <c r="J50"/>
  <c r="I50"/>
  <c r="J52"/>
  <c r="I52"/>
  <c r="J54"/>
  <c r="I54"/>
  <c r="J56"/>
  <c r="I56"/>
  <c r="G61"/>
  <c r="I64" i="1"/>
  <c r="H68" i="5" s="1"/>
  <c r="J69" i="12"/>
  <c r="I69"/>
  <c r="J76"/>
  <c r="I76"/>
  <c r="G78"/>
  <c r="J8"/>
  <c r="I8"/>
  <c r="G4"/>
  <c r="I4" s="1"/>
  <c r="I9"/>
  <c r="J9"/>
  <c r="J19"/>
  <c r="I19"/>
  <c r="J21"/>
  <c r="I21"/>
  <c r="J27"/>
  <c r="I27"/>
  <c r="J29"/>
  <c r="I29"/>
  <c r="J33"/>
  <c r="I33"/>
  <c r="J35"/>
  <c r="I35"/>
  <c r="J37"/>
  <c r="I37"/>
  <c r="J39"/>
  <c r="I39"/>
  <c r="J41"/>
  <c r="I41"/>
  <c r="J44"/>
  <c r="I44"/>
  <c r="J48"/>
  <c r="I48"/>
  <c r="J51"/>
  <c r="I51"/>
  <c r="J53"/>
  <c r="I53"/>
  <c r="J55"/>
  <c r="I55"/>
  <c r="J62"/>
  <c r="I62"/>
  <c r="I70"/>
  <c r="J70"/>
  <c r="G75"/>
  <c r="J77"/>
  <c r="I77"/>
  <c r="G79"/>
  <c r="J46"/>
  <c r="I46"/>
  <c r="J31"/>
  <c r="I31"/>
  <c r="J32"/>
  <c r="I32"/>
  <c r="I74" i="1"/>
  <c r="H17"/>
  <c r="H24" s="1"/>
  <c r="K19" i="7"/>
  <c r="D35"/>
  <c r="D33"/>
  <c r="C8" i="8"/>
  <c r="D8" s="1"/>
  <c r="E8" s="1"/>
  <c r="F17" i="7"/>
  <c r="E17"/>
  <c r="D17"/>
  <c r="C17"/>
  <c r="C19" s="1"/>
  <c r="L9"/>
  <c r="L7"/>
  <c r="H14" i="6"/>
  <c r="F14"/>
  <c r="D14"/>
  <c r="H19"/>
  <c r="F19"/>
  <c r="D19"/>
  <c r="B19"/>
  <c r="I17"/>
  <c r="G17"/>
  <c r="E17"/>
  <c r="B14"/>
  <c r="J14" s="1"/>
  <c r="H13"/>
  <c r="F13"/>
  <c r="F15" s="1"/>
  <c r="D13"/>
  <c r="D15" s="1"/>
  <c r="B13"/>
  <c r="B15" s="1"/>
  <c r="J6"/>
  <c r="D9"/>
  <c r="E9"/>
  <c r="J7"/>
  <c r="H79" i="5" l="1"/>
  <c r="H94" s="1"/>
  <c r="I87" i="1"/>
  <c r="D19" i="7"/>
  <c r="E19" s="1"/>
  <c r="J19" i="6"/>
  <c r="I78" i="12"/>
  <c r="J78"/>
  <c r="I79"/>
  <c r="J79"/>
  <c r="I82"/>
  <c r="I61"/>
  <c r="J61"/>
  <c r="I75" i="1"/>
  <c r="G72" i="12"/>
  <c r="J75"/>
  <c r="I75"/>
  <c r="G63"/>
  <c r="I16" i="1"/>
  <c r="I11"/>
  <c r="F19" i="7"/>
  <c r="G19" s="1"/>
  <c r="H15" i="6"/>
  <c r="H17" s="1"/>
  <c r="B17"/>
  <c r="J15"/>
  <c r="J17" s="1"/>
  <c r="F17"/>
  <c r="D17"/>
  <c r="J13"/>
  <c r="F4"/>
  <c r="J4" s="1"/>
  <c r="F5"/>
  <c r="J5" s="1"/>
  <c r="F8"/>
  <c r="J8" s="1"/>
  <c r="C9"/>
  <c r="I17" i="1" l="1"/>
  <c r="I24" s="1"/>
  <c r="G16" i="12"/>
  <c r="J16" s="1"/>
  <c r="H16" i="5"/>
  <c r="G49" i="12"/>
  <c r="I49" s="1"/>
  <c r="H51" i="5"/>
  <c r="H19" i="7"/>
  <c r="I19" s="1"/>
  <c r="G11" i="12"/>
  <c r="J11" s="1"/>
  <c r="H11" i="5"/>
  <c r="I63" i="12"/>
  <c r="J63"/>
  <c r="J72"/>
  <c r="I72"/>
  <c r="J49"/>
  <c r="I59" i="1"/>
  <c r="F8" i="8"/>
  <c r="H22" i="6"/>
  <c r="D22"/>
  <c r="F22"/>
  <c r="B22"/>
  <c r="H9"/>
  <c r="F9"/>
  <c r="J9"/>
  <c r="C8" i="9" l="1"/>
  <c r="H103" i="5" s="1"/>
  <c r="J19" i="7"/>
  <c r="I11" i="12"/>
  <c r="I16"/>
  <c r="E4" i="9"/>
  <c r="J99" i="5" s="1"/>
  <c r="H99"/>
  <c r="H101"/>
  <c r="H17"/>
  <c r="I65" i="1"/>
  <c r="G64" i="12" s="1"/>
  <c r="H63" i="5"/>
  <c r="G17" i="12"/>
  <c r="G58"/>
  <c r="G8" i="8"/>
  <c r="H8" s="1"/>
  <c r="I8" s="1"/>
  <c r="J22" i="6"/>
  <c r="H69" i="5" l="1"/>
  <c r="H25"/>
  <c r="G23" i="12"/>
  <c r="I23" s="1"/>
  <c r="G83"/>
  <c r="J83" s="1"/>
  <c r="I66" i="1"/>
  <c r="J17" i="12"/>
  <c r="I17"/>
  <c r="J64"/>
  <c r="I64"/>
  <c r="I58"/>
  <c r="J58"/>
  <c r="J23" l="1"/>
  <c r="I83"/>
  <c r="I88" i="1"/>
  <c r="B5" i="9" s="1"/>
  <c r="H70" i="5"/>
  <c r="G65" i="12"/>
  <c r="J65" s="1"/>
  <c r="E7" i="9" l="1"/>
  <c r="J102" i="5" s="1"/>
  <c r="G102"/>
  <c r="G100"/>
  <c r="H95"/>
  <c r="G84" i="12"/>
  <c r="J84" s="1"/>
  <c r="I65"/>
  <c r="I84" l="1"/>
  <c r="E5" i="9"/>
  <c r="J100" i="5" s="1"/>
  <c r="B6" i="9"/>
  <c r="G101" i="5" s="1"/>
  <c r="H65" i="1"/>
  <c r="H66" s="1"/>
  <c r="H88" s="1"/>
  <c r="E6" i="9" l="1"/>
  <c r="J101" i="5" s="1"/>
  <c r="B8" i="9"/>
  <c r="E8" l="1"/>
  <c r="J103" i="5" s="1"/>
  <c r="G103"/>
</calcChain>
</file>

<file path=xl/comments1.xml><?xml version="1.0" encoding="utf-8"?>
<comments xmlns="http://schemas.openxmlformats.org/spreadsheetml/2006/main">
  <authors>
    <author>charles smith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charles smith:</t>
        </r>
        <r>
          <rPr>
            <sz val="8"/>
            <color indexed="81"/>
            <rFont val="Tahoma"/>
            <family val="2"/>
          </rPr>
          <t xml:space="preserve">
from balance sheet
</t>
        </r>
      </text>
    </comment>
  </commentList>
</comments>
</file>

<file path=xl/sharedStrings.xml><?xml version="1.0" encoding="utf-8"?>
<sst xmlns="http://schemas.openxmlformats.org/spreadsheetml/2006/main" count="386" uniqueCount="194">
  <si>
    <t>Ordinary Income/Expense</t>
  </si>
  <si>
    <t>Income</t>
  </si>
  <si>
    <t>0-489 · Water disconnect/reconnect fee</t>
  </si>
  <si>
    <t>Water Sales</t>
  </si>
  <si>
    <t>0-461 · Metered Sales to Retail</t>
  </si>
  <si>
    <t>0-461-1 · Base Fees Retail</t>
  </si>
  <si>
    <t>0-461-2 · Sales - Retail</t>
  </si>
  <si>
    <t>0-461-3 · Premiums Retail</t>
  </si>
  <si>
    <t>Total 0-461 · Metered Sales to Retail</t>
  </si>
  <si>
    <t>0-462 · Metered Sales to Bulk Users</t>
  </si>
  <si>
    <t>0-462-1 · Base Fees Bulk</t>
  </si>
  <si>
    <t>0-462-2 · Sales Bulk</t>
  </si>
  <si>
    <t>0-462-3 · Premiums Bulk</t>
  </si>
  <si>
    <t>Total 0-462 · Metered Sales to Bulk Users</t>
  </si>
  <si>
    <t>Total Water Sales</t>
  </si>
  <si>
    <t>0-500 · Late Fee Revenue</t>
  </si>
  <si>
    <t>0-419 · Interest and Dividend Income</t>
  </si>
  <si>
    <t>0-421 · Nonutility Income</t>
  </si>
  <si>
    <t>0-485 · Meter Installation Fees</t>
  </si>
  <si>
    <t>Total Income</t>
  </si>
  <si>
    <t>Expense</t>
  </si>
  <si>
    <t>OPERATING EXPENSES</t>
  </si>
  <si>
    <t>1-601 · Salaries &amp; Wages - Employees</t>
  </si>
  <si>
    <t>1-603 · Salaries &amp; Wages - General Mgr</t>
  </si>
  <si>
    <t>1-602 · Payroll Tax Expense</t>
  </si>
  <si>
    <t>1-604 · Employee Benefits</t>
  </si>
  <si>
    <t>1-631 · Contractual Services - Engineer</t>
  </si>
  <si>
    <t>1-632 · Contractual Services - Accounti</t>
  </si>
  <si>
    <t>1-633 · Contractual Services - Legal</t>
  </si>
  <si>
    <t>1-635 · Contractual Services - Other</t>
  </si>
  <si>
    <t>1-637 · Contractual Services - Billing</t>
  </si>
  <si>
    <t>1-679 · Board Stipend</t>
  </si>
  <si>
    <t>1-606 · Bank Fees</t>
  </si>
  <si>
    <t>1-605 · Dues</t>
  </si>
  <si>
    <t>1-630 · Education and Certification</t>
  </si>
  <si>
    <t>1-657 · Insurance - General Liability</t>
  </si>
  <si>
    <t>1-658 · Insurance - Workman's Compensat</t>
  </si>
  <si>
    <t>1-625 · Permits- License- Fees</t>
  </si>
  <si>
    <t>1-622 · Postage &amp; PO Box</t>
  </si>
  <si>
    <t>1-615 · Purchased Utilities</t>
  </si>
  <si>
    <t>1-690 · Septic Service</t>
  </si>
  <si>
    <t>1-617 · Trash</t>
  </si>
  <si>
    <t>1-614 · Telephone &amp; Internet</t>
  </si>
  <si>
    <t>1-613 · Electric</t>
  </si>
  <si>
    <t>1-611 · Gas</t>
  </si>
  <si>
    <t>Total 1-615 · Purchased Utilities</t>
  </si>
  <si>
    <t>1-642 · Rental of Equipment</t>
  </si>
  <si>
    <t>1-645 · Repairs &amp; Maint.</t>
  </si>
  <si>
    <t>1-652 · Snow Removal</t>
  </si>
  <si>
    <t>1-650 · Transportation Expense</t>
  </si>
  <si>
    <t>1-620 · Materials and Supplies</t>
  </si>
  <si>
    <t>1-618 · Chemicals</t>
  </si>
  <si>
    <t>1-619 · Testing</t>
  </si>
  <si>
    <t>1-675 · Miscellaneous Expense</t>
  </si>
  <si>
    <t>Total OPERATING EXPENSES</t>
  </si>
  <si>
    <t>1-680 · Contingency</t>
  </si>
  <si>
    <t>Other Utility Operating Expense</t>
  </si>
  <si>
    <t>1-666 · Ditch Assessment</t>
  </si>
  <si>
    <t>0-403 · Depreciation Expense</t>
  </si>
  <si>
    <t>Total Other Utility Operating Expense</t>
  </si>
  <si>
    <t>Total Expense</t>
  </si>
  <si>
    <t>Net Ordinary Income</t>
  </si>
  <si>
    <t>Other Income/Expense</t>
  </si>
  <si>
    <t>Other Income</t>
  </si>
  <si>
    <t>0-486 · Water Royalty Fees</t>
  </si>
  <si>
    <t>0-501 · Acquisition Surcharge</t>
  </si>
  <si>
    <t>0-790 · DOLA Grant Reimbursements</t>
  </si>
  <si>
    <t>Total Other Income</t>
  </si>
  <si>
    <t>Other Expense</t>
  </si>
  <si>
    <t>Other Expenses</t>
  </si>
  <si>
    <t>0-417 · Royalty Fees Paid Out</t>
  </si>
  <si>
    <t>0-623 · DWRF Bond -Princ Pmt Current Yr</t>
  </si>
  <si>
    <t>0-622 · DWRF Bond - Interest</t>
  </si>
  <si>
    <t>0-700 · DOLA Reimbursable Expenses</t>
  </si>
  <si>
    <t>Total Other Expenses</t>
  </si>
  <si>
    <t>Net Other Income</t>
  </si>
  <si>
    <t>Net Income</t>
  </si>
  <si>
    <t>Position</t>
  </si>
  <si>
    <t>Annual Salary</t>
  </si>
  <si>
    <t>Benefits</t>
  </si>
  <si>
    <t>Annual Contract</t>
  </si>
  <si>
    <t>Payroll Tax</t>
  </si>
  <si>
    <t>SUTA</t>
  </si>
  <si>
    <t>Total Compensation</t>
  </si>
  <si>
    <t>Charles Smith</t>
  </si>
  <si>
    <t>Manager</t>
  </si>
  <si>
    <t>Tim Cavanaugh</t>
  </si>
  <si>
    <t>Distribution Operator</t>
  </si>
  <si>
    <t>Billing and assist</t>
  </si>
  <si>
    <t>Chris Kramer</t>
  </si>
  <si>
    <t>Treatment Operator</t>
  </si>
  <si>
    <t>Bud Fitts</t>
  </si>
  <si>
    <t>Total</t>
  </si>
  <si>
    <t>Wages by Class</t>
  </si>
  <si>
    <t>Admin</t>
  </si>
  <si>
    <t>Distribution</t>
  </si>
  <si>
    <t>Source</t>
  </si>
  <si>
    <t>Treatment</t>
  </si>
  <si>
    <t>GM</t>
  </si>
  <si>
    <t>Employees</t>
  </si>
  <si>
    <t>Payroll Tax by class</t>
  </si>
  <si>
    <t>Benefits by Class</t>
  </si>
  <si>
    <t>Payroll Percentages by Class</t>
  </si>
  <si>
    <t>Contractor</t>
  </si>
  <si>
    <t>Acquisition Surcharge</t>
  </si>
  <si>
    <t>Application of Acquisition Surcharge</t>
  </si>
  <si>
    <t>Charged/Paid to Date</t>
  </si>
  <si>
    <t>Balance</t>
  </si>
  <si>
    <t>Revenue</t>
  </si>
  <si>
    <t>Acquisition Surcharge Fees</t>
  </si>
  <si>
    <t>Accrued Alpine Bond Interest</t>
  </si>
  <si>
    <t>DWRF Bond Principal</t>
  </si>
  <si>
    <t>Accrued DWRF Bond Interest</t>
  </si>
  <si>
    <t>Master Plan &amp; Rate Study</t>
  </si>
  <si>
    <t>to pay down Org and Formation Expense</t>
  </si>
  <si>
    <t xml:space="preserve">  Total Expense</t>
  </si>
  <si>
    <t>End of Year Fund Balance</t>
  </si>
  <si>
    <t>Alpine Bond</t>
  </si>
  <si>
    <t>plus interest</t>
  </si>
  <si>
    <t>DWRF Bond</t>
  </si>
  <si>
    <t>Bond in Excess of Purchase</t>
  </si>
  <si>
    <t>Rate Study</t>
  </si>
  <si>
    <t>Master Plan portion paid with Acq Surcharge</t>
  </si>
  <si>
    <t>Amount to be collected from Acquisition surcharge fees in addition to bond and loan</t>
  </si>
  <si>
    <t>Water Royalty Fund</t>
  </si>
  <si>
    <t>Water Royalty Fees</t>
  </si>
  <si>
    <t>Royalty Fees Paid Out</t>
  </si>
  <si>
    <t>Capital Improvements</t>
  </si>
  <si>
    <t>Capital Improvements (Alt Feed and Drain Repair)</t>
  </si>
  <si>
    <t>Org, Formation, and Purchase Costs</t>
  </si>
  <si>
    <t>All Funds</t>
  </si>
  <si>
    <t>Operating Reserve Fund</t>
  </si>
  <si>
    <t>`</t>
  </si>
  <si>
    <t>Difference</t>
  </si>
  <si>
    <t>0-463 Conservation Fees</t>
  </si>
  <si>
    <t>PRVB Bond Interest - Princ Pmt Current Yr</t>
  </si>
  <si>
    <t>PRVB Bond Interest - Interest</t>
  </si>
  <si>
    <t>0-624 · PRVB Bond Interest</t>
  </si>
  <si>
    <t>0-218 · PRVB Bond Princ Pmt Current Yr</t>
  </si>
  <si>
    <t>Alexis Bulleigh</t>
  </si>
  <si>
    <t>0-800 · SWSP Water Purchase</t>
  </si>
  <si>
    <t>%</t>
  </si>
  <si>
    <t>PRVB Bond Int</t>
  </si>
  <si>
    <t>Alpine/PRVB Bond Principal</t>
  </si>
  <si>
    <t>transfer from operating reserve fund</t>
  </si>
  <si>
    <t>Acquisition and Capital Improvements Fund</t>
  </si>
  <si>
    <t>0-482 · Meter Test</t>
  </si>
  <si>
    <t>0-704 · CWCB Grant/Loan</t>
  </si>
  <si>
    <t xml:space="preserve">December 31, 2015 Balance </t>
  </si>
  <si>
    <t>2014 Budget vs. Projection</t>
  </si>
  <si>
    <t>16726</t>
  </si>
  <si>
    <t>1-699 · Bad Debt Expense</t>
  </si>
  <si>
    <t>0-405 · Bond Issuance Cost Amortization</t>
  </si>
  <si>
    <t>Formation and Purchase Costs Less Bond In Excess of Purchase Transfer to operating</t>
  </si>
  <si>
    <t>2015 projected</t>
  </si>
  <si>
    <t>0-704 · CWCB Grant</t>
  </si>
  <si>
    <t xml:space="preserve"> </t>
  </si>
  <si>
    <t>ALP Source Water Pipeline</t>
  </si>
  <si>
    <t>ALP Water Purchase</t>
  </si>
  <si>
    <t>Item</t>
  </si>
  <si>
    <t>Amount</t>
  </si>
  <si>
    <t>Sorce of Funds</t>
  </si>
  <si>
    <t>CWCB Grant - $25,000, CWCB Loan $125,000</t>
  </si>
  <si>
    <t>Capital Reserve</t>
  </si>
  <si>
    <t>Actual Year Ending December 31, 2014</t>
  </si>
  <si>
    <t>December 2015</t>
  </si>
  <si>
    <t>Projected 2015</t>
  </si>
  <si>
    <t>0-502 · NF Charges</t>
  </si>
  <si>
    <t>Projected Year Ending 2015</t>
  </si>
  <si>
    <t xml:space="preserve"> Budget Jan1-Dec 31 2015</t>
  </si>
  <si>
    <t>2016 Proposed Lake Durango Staff and Contractors</t>
  </si>
  <si>
    <t>2016 Projected</t>
  </si>
  <si>
    <t>Budget Jan 1 - Dec 31 2016</t>
  </si>
  <si>
    <t>Bond Expense</t>
  </si>
  <si>
    <t>CWCB Grant - $430,833 CWCB Loan $2,154,167</t>
  </si>
  <si>
    <t>2016 Capital Improvements</t>
  </si>
  <si>
    <t>Distribution Improvements</t>
  </si>
  <si>
    <t xml:space="preserve">January 1, 2015 Balance </t>
  </si>
  <si>
    <t xml:space="preserve">December 31, 2016 Balance </t>
  </si>
  <si>
    <t xml:space="preserve">Projected 2015 Net Income </t>
  </si>
  <si>
    <t>Projected 2016 Net Income</t>
  </si>
  <si>
    <t>Reservoir weed control</t>
  </si>
  <si>
    <t>Tank Inspections</t>
  </si>
  <si>
    <t>Tank Mixing</t>
  </si>
  <si>
    <t>Improvements to Shenandoah Pump Station (w/chlorine booster?)</t>
  </si>
  <si>
    <t>Capital Reserve/grant</t>
  </si>
  <si>
    <t>0-691  Other Grant Revenue</t>
  </si>
  <si>
    <t>11/2 percent</t>
  </si>
  <si>
    <t>22 hours, 3%</t>
  </si>
  <si>
    <t>PRN</t>
  </si>
  <si>
    <t>Pick up truck</t>
  </si>
  <si>
    <t>Projected 2016 Net Income (+$76,000 Depreciation-$170,000 Cap Impr.-CWCB Grant)</t>
  </si>
  <si>
    <t>Projected 2015 Net Income (+$77,003 Depreciation-$26,930 Cap Impr.-CWCB grant)</t>
  </si>
  <si>
    <t>YTD November 2015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</si>
</sst>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&quot;$&quot;#,##0"/>
    <numFmt numFmtId="165" formatCode="0.0%"/>
  </numFmts>
  <fonts count="16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</cellStyleXfs>
  <cellXfs count="115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NumberFormat="1" applyFon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0" xfId="0" applyNumberFormat="1"/>
    <xf numFmtId="0" fontId="2" fillId="0" borderId="2" xfId="1" applyFont="1" applyBorder="1" applyAlignment="1">
      <alignment wrapText="1"/>
    </xf>
    <xf numFmtId="0" fontId="3" fillId="0" borderId="2" xfId="1" applyBorder="1"/>
    <xf numFmtId="3" fontId="3" fillId="0" borderId="2" xfId="1" applyNumberFormat="1" applyBorder="1" applyAlignment="1">
      <alignment wrapText="1"/>
    </xf>
    <xf numFmtId="3" fontId="3" fillId="0" borderId="2" xfId="1" applyNumberFormat="1" applyBorder="1"/>
    <xf numFmtId="3" fontId="3" fillId="0" borderId="2" xfId="1" applyNumberFormat="1" applyFont="1" applyBorder="1" applyAlignment="1">
      <alignment wrapText="1"/>
    </xf>
    <xf numFmtId="164" fontId="3" fillId="0" borderId="2" xfId="1" applyNumberFormat="1" applyBorder="1" applyAlignment="1">
      <alignment wrapText="1"/>
    </xf>
    <xf numFmtId="0" fontId="3" fillId="0" borderId="0" xfId="1"/>
    <xf numFmtId="3" fontId="3" fillId="0" borderId="0" xfId="1" applyNumberFormat="1"/>
    <xf numFmtId="3" fontId="3" fillId="0" borderId="0" xfId="1" applyNumberFormat="1" applyAlignment="1">
      <alignment wrapText="1"/>
    </xf>
    <xf numFmtId="164" fontId="3" fillId="0" borderId="0" xfId="1" applyNumberFormat="1"/>
    <xf numFmtId="0" fontId="3" fillId="0" borderId="0" xfId="1" applyFont="1"/>
    <xf numFmtId="0" fontId="3" fillId="0" borderId="0" xfId="1" applyFill="1" applyBorder="1"/>
    <xf numFmtId="3" fontId="3" fillId="0" borderId="0" xfId="1" applyNumberFormat="1" applyFill="1" applyBorder="1"/>
    <xf numFmtId="164" fontId="3" fillId="0" borderId="0" xfId="1" applyNumberFormat="1" applyFill="1" applyBorder="1"/>
    <xf numFmtId="0" fontId="4" fillId="0" borderId="0" xfId="1" applyFont="1"/>
    <xf numFmtId="3" fontId="3" fillId="0" borderId="2" xfId="1" applyNumberFormat="1" applyFont="1" applyBorder="1"/>
    <xf numFmtId="0" fontId="3" fillId="0" borderId="2" xfId="1" applyFont="1" applyBorder="1"/>
    <xf numFmtId="0" fontId="4" fillId="0" borderId="0" xfId="1" applyFont="1" applyAlignment="1">
      <alignment wrapText="1"/>
    </xf>
    <xf numFmtId="9" fontId="3" fillId="0" borderId="0" xfId="1" applyNumberFormat="1"/>
    <xf numFmtId="3" fontId="0" fillId="0" borderId="0" xfId="0" applyNumberFormat="1"/>
    <xf numFmtId="4" fontId="3" fillId="0" borderId="0" xfId="1" applyNumberFormat="1"/>
    <xf numFmtId="0" fontId="3" fillId="0" borderId="0" xfId="1" applyAlignment="1"/>
    <xf numFmtId="0" fontId="3" fillId="0" borderId="0" xfId="1" applyFont="1" applyAlignment="1">
      <alignment wrapText="1"/>
    </xf>
    <xf numFmtId="4" fontId="3" fillId="0" borderId="0" xfId="1" applyNumberFormat="1" applyFont="1" applyAlignment="1">
      <alignment wrapText="1"/>
    </xf>
    <xf numFmtId="164" fontId="3" fillId="0" borderId="0" xfId="1" applyNumberFormat="1" applyFont="1" applyAlignment="1">
      <alignment wrapText="1"/>
    </xf>
    <xf numFmtId="164" fontId="3" fillId="0" borderId="0" xfId="1" applyNumberFormat="1" applyAlignment="1">
      <alignment wrapText="1"/>
    </xf>
    <xf numFmtId="0" fontId="3" fillId="0" borderId="0" xfId="1" applyFont="1" applyBorder="1" applyAlignment="1">
      <alignment wrapText="1"/>
    </xf>
    <xf numFmtId="164" fontId="3" fillId="0" borderId="0" xfId="1" applyNumberFormat="1" applyBorder="1"/>
    <xf numFmtId="164" fontId="3" fillId="0" borderId="0" xfId="1" applyNumberFormat="1" applyFont="1" applyBorder="1" applyAlignment="1">
      <alignment wrapText="1"/>
    </xf>
    <xf numFmtId="4" fontId="3" fillId="0" borderId="0" xfId="1" applyNumberFormat="1" applyFont="1" applyBorder="1" applyAlignment="1">
      <alignment wrapText="1"/>
    </xf>
    <xf numFmtId="164" fontId="3" fillId="0" borderId="0" xfId="1" applyNumberFormat="1" applyFont="1" applyFill="1" applyBorder="1" applyAlignment="1">
      <alignment wrapText="1"/>
    </xf>
    <xf numFmtId="164" fontId="3" fillId="0" borderId="0" xfId="1" applyNumberFormat="1" applyFont="1"/>
    <xf numFmtId="0" fontId="4" fillId="0" borderId="0" xfId="1" applyFont="1" applyBorder="1" applyAlignment="1">
      <alignment wrapText="1"/>
    </xf>
    <xf numFmtId="0" fontId="3" fillId="0" borderId="0" xfId="1" applyFont="1" applyBorder="1"/>
    <xf numFmtId="3" fontId="3" fillId="0" borderId="0" xfId="1" applyNumberFormat="1" applyBorder="1"/>
    <xf numFmtId="0" fontId="3" fillId="0" borderId="0" xfId="1" applyBorder="1"/>
    <xf numFmtId="0" fontId="3" fillId="0" borderId="0" xfId="1" applyFont="1" applyFill="1" applyBorder="1"/>
    <xf numFmtId="0" fontId="3" fillId="0" borderId="0" xfId="1" applyFont="1" applyFill="1" applyBorder="1" applyAlignment="1">
      <alignment wrapText="1"/>
    </xf>
    <xf numFmtId="0" fontId="5" fillId="0" borderId="0" xfId="3" applyAlignment="1">
      <alignment wrapText="1"/>
    </xf>
    <xf numFmtId="0" fontId="3" fillId="0" borderId="0" xfId="3" applyFont="1" applyAlignment="1">
      <alignment wrapText="1"/>
    </xf>
    <xf numFmtId="0" fontId="4" fillId="0" borderId="0" xfId="3" applyFont="1"/>
    <xf numFmtId="164" fontId="4" fillId="0" borderId="0" xfId="3" applyNumberFormat="1" applyFont="1"/>
    <xf numFmtId="164" fontId="4" fillId="0" borderId="0" xfId="3" applyNumberFormat="1" applyFont="1" applyBorder="1"/>
    <xf numFmtId="0" fontId="5" fillId="0" borderId="0" xfId="3"/>
    <xf numFmtId="0" fontId="4" fillId="0" borderId="0" xfId="3" applyFont="1" applyAlignment="1">
      <alignment wrapText="1"/>
    </xf>
    <xf numFmtId="0" fontId="3" fillId="0" borderId="0" xfId="3" applyFont="1" applyBorder="1"/>
    <xf numFmtId="0" fontId="4" fillId="0" borderId="0" xfId="3" applyFont="1" applyFill="1" applyBorder="1" applyAlignment="1">
      <alignment horizontal="center"/>
    </xf>
    <xf numFmtId="0" fontId="4" fillId="0" borderId="0" xfId="3" applyFont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0" fontId="3" fillId="0" borderId="0" xfId="3" applyFont="1"/>
    <xf numFmtId="0" fontId="6" fillId="0" borderId="0" xfId="3" applyNumberFormat="1" applyFont="1" applyFill="1" applyBorder="1" applyAlignment="1"/>
    <xf numFmtId="0" fontId="6" fillId="0" borderId="0" xfId="3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1" fillId="0" borderId="0" xfId="0" applyNumberFormat="1" applyFont="1" applyBorder="1"/>
    <xf numFmtId="3" fontId="0" fillId="0" borderId="0" xfId="0" applyNumberFormat="1" applyBorder="1"/>
    <xf numFmtId="0" fontId="0" fillId="0" borderId="0" xfId="0" applyBorder="1"/>
    <xf numFmtId="0" fontId="1" fillId="0" borderId="0" xfId="0" applyNumberFormat="1" applyFont="1" applyBorder="1"/>
    <xf numFmtId="3" fontId="0" fillId="0" borderId="0" xfId="0" applyNumberFormat="1" applyFont="1"/>
    <xf numFmtId="3" fontId="8" fillId="0" borderId="1" xfId="0" applyNumberFormat="1" applyFont="1" applyBorder="1"/>
    <xf numFmtId="3" fontId="8" fillId="0" borderId="0" xfId="0" applyNumberFormat="1" applyFont="1"/>
    <xf numFmtId="3" fontId="3" fillId="0" borderId="0" xfId="1" applyNumberFormat="1" applyFont="1" applyAlignment="1">
      <alignment wrapText="1"/>
    </xf>
    <xf numFmtId="0" fontId="0" fillId="0" borderId="0" xfId="0"/>
    <xf numFmtId="49" fontId="1" fillId="0" borderId="0" xfId="0" applyNumberFormat="1" applyFont="1"/>
    <xf numFmtId="0" fontId="1" fillId="0" borderId="0" xfId="0" applyFont="1"/>
    <xf numFmtId="3" fontId="6" fillId="0" borderId="0" xfId="0" applyNumberFormat="1" applyFont="1" applyFill="1" applyAlignment="1">
      <alignment horizontal="center" wrapText="1"/>
    </xf>
    <xf numFmtId="3" fontId="7" fillId="0" borderId="0" xfId="0" applyNumberFormat="1" applyFont="1" applyFill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3" fontId="10" fillId="0" borderId="0" xfId="0" applyNumberFormat="1" applyFont="1" applyBorder="1"/>
    <xf numFmtId="0" fontId="10" fillId="0" borderId="0" xfId="0" applyFont="1" applyBorder="1"/>
    <xf numFmtId="0" fontId="10" fillId="0" borderId="0" xfId="0" applyFont="1"/>
    <xf numFmtId="3" fontId="11" fillId="0" borderId="0" xfId="0" applyNumberFormat="1" applyFont="1" applyBorder="1"/>
    <xf numFmtId="3" fontId="12" fillId="0" borderId="0" xfId="1" applyNumberFormat="1" applyFont="1" applyBorder="1" applyAlignment="1">
      <alignment wrapText="1"/>
    </xf>
    <xf numFmtId="0" fontId="4" fillId="0" borderId="0" xfId="4" applyFont="1" applyBorder="1" applyAlignment="1">
      <alignment wrapText="1"/>
    </xf>
    <xf numFmtId="165" fontId="10" fillId="0" borderId="0" xfId="0" applyNumberFormat="1" applyFont="1" applyBorder="1" applyAlignment="1">
      <alignment horizontal="center" wrapText="1"/>
    </xf>
    <xf numFmtId="165" fontId="10" fillId="0" borderId="0" xfId="0" applyNumberFormat="1" applyFont="1" applyBorder="1"/>
    <xf numFmtId="165" fontId="10" fillId="0" borderId="0" xfId="0" applyNumberFormat="1" applyFont="1"/>
    <xf numFmtId="164" fontId="4" fillId="0" borderId="0" xfId="1" applyNumberFormat="1" applyFont="1"/>
    <xf numFmtId="0" fontId="1" fillId="0" borderId="0" xfId="0" applyNumberFormat="1" applyFont="1" applyBorder="1" applyAlignment="1"/>
    <xf numFmtId="3" fontId="13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/>
    <xf numFmtId="3" fontId="9" fillId="0" borderId="0" xfId="0" applyNumberFormat="1" applyFont="1" applyBorder="1"/>
    <xf numFmtId="3" fontId="1" fillId="0" borderId="0" xfId="0" applyNumberFormat="1" applyFont="1"/>
    <xf numFmtId="0" fontId="0" fillId="0" borderId="0" xfId="0"/>
    <xf numFmtId="49" fontId="1" fillId="0" borderId="0" xfId="0" applyNumberFormat="1" applyFont="1"/>
    <xf numFmtId="1" fontId="4" fillId="0" borderId="0" xfId="1" applyNumberFormat="1" applyFont="1" applyAlignment="1">
      <alignment wrapText="1"/>
    </xf>
    <xf numFmtId="1" fontId="3" fillId="0" borderId="0" xfId="1" applyNumberFormat="1" applyFont="1" applyAlignment="1">
      <alignment wrapText="1"/>
    </xf>
    <xf numFmtId="1" fontId="3" fillId="0" borderId="0" xfId="1" applyNumberFormat="1"/>
    <xf numFmtId="0" fontId="1" fillId="0" borderId="0" xfId="0" quotePrefix="1" applyNumberFormat="1" applyFont="1"/>
    <xf numFmtId="164" fontId="0" fillId="0" borderId="0" xfId="0" applyNumberFormat="1"/>
    <xf numFmtId="164" fontId="0" fillId="0" borderId="2" xfId="0" applyNumberFormat="1" applyBorder="1"/>
    <xf numFmtId="164" fontId="0" fillId="0" borderId="0" xfId="0" applyNumberFormat="1" applyBorder="1"/>
    <xf numFmtId="0" fontId="0" fillId="0" borderId="2" xfId="0" applyBorder="1"/>
    <xf numFmtId="49" fontId="2" fillId="0" borderId="0" xfId="0" applyNumberFormat="1" applyFont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/>
    <xf numFmtId="3" fontId="9" fillId="0" borderId="0" xfId="0" applyNumberFormat="1" applyFont="1" applyFill="1" applyBorder="1"/>
    <xf numFmtId="3" fontId="3" fillId="0" borderId="0" xfId="3" applyNumberFormat="1" applyFont="1" applyFill="1" applyAlignment="1">
      <alignment wrapText="1"/>
    </xf>
    <xf numFmtId="164" fontId="4" fillId="0" borderId="0" xfId="3" applyNumberFormat="1" applyFont="1" applyFill="1"/>
    <xf numFmtId="3" fontId="0" fillId="0" borderId="0" xfId="0" applyNumberFormat="1" applyFont="1" applyBorder="1"/>
    <xf numFmtId="3" fontId="1" fillId="0" borderId="2" xfId="0" applyNumberFormat="1" applyFont="1" applyBorder="1"/>
    <xf numFmtId="3" fontId="8" fillId="0" borderId="2" xfId="0" applyNumberFormat="1" applyFont="1" applyBorder="1"/>
    <xf numFmtId="3" fontId="0" fillId="0" borderId="2" xfId="0" applyNumberFormat="1" applyFont="1" applyBorder="1"/>
    <xf numFmtId="3" fontId="8" fillId="0" borderId="0" xfId="0" applyNumberFormat="1" applyFont="1" applyBorder="1"/>
    <xf numFmtId="3" fontId="1" fillId="0" borderId="0" xfId="0" applyNumberFormat="1" applyFont="1" applyBorder="1"/>
    <xf numFmtId="3" fontId="8" fillId="0" borderId="3" xfId="0" applyNumberFormat="1" applyFont="1" applyBorder="1"/>
    <xf numFmtId="3" fontId="9" fillId="0" borderId="3" xfId="0" applyNumberFormat="1" applyFont="1" applyBorder="1"/>
    <xf numFmtId="164" fontId="0" fillId="0" borderId="1" xfId="0" applyNumberFormat="1" applyBorder="1"/>
  </cellXfs>
  <cellStyles count="5">
    <cellStyle name="Comma 2" xfId="2"/>
    <cellStyle name="Normal" xfId="0" builtinId="0"/>
    <cellStyle name="Normal 2" xfId="1"/>
    <cellStyle name="Normal 3" xfId="3"/>
    <cellStyle name="Normal 3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erB/Local%20Settings/Temporary%20Internet%20Files/Content.Outlook/TLVUOEYC/LDWA%202009%20DRAFT%2011-17-08%20update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Combined Tom Request"/>
      <sheetName val="Draft after11-6-08 meeting chgs"/>
      <sheetName val="First Draft w LDWC figures"/>
      <sheetName val="Personnel"/>
      <sheetName val="2mil @ 4% 20 yr"/>
      <sheetName val="2.5mil@ 4% 20 yr"/>
      <sheetName val="2.2 mil @ 3.5%"/>
      <sheetName val="Repairs Loan Amort. 4%"/>
      <sheetName val="Per Customer Payments"/>
    </sheetNames>
    <sheetDataSet>
      <sheetData sheetId="0"/>
      <sheetData sheetId="1"/>
      <sheetData sheetId="2"/>
      <sheetData sheetId="3"/>
      <sheetData sheetId="4">
        <row r="1">
          <cell r="A1" t="str">
            <v>Loan Calculator</v>
          </cell>
        </row>
        <row r="5">
          <cell r="B5" t="str">
            <v>Enter Values</v>
          </cell>
          <cell r="F5" t="str">
            <v>Loan Summary</v>
          </cell>
        </row>
        <row r="6">
          <cell r="C6" t="str">
            <v>Loan Amount</v>
          </cell>
          <cell r="D6">
            <v>2000000</v>
          </cell>
          <cell r="G6" t="str">
            <v>Scheduled Payment</v>
          </cell>
          <cell r="H6">
            <v>147163.50065725765</v>
          </cell>
        </row>
        <row r="7">
          <cell r="C7" t="str">
            <v>Annual Interest Rate</v>
          </cell>
          <cell r="D7">
            <v>0.04</v>
          </cell>
          <cell r="G7" t="str">
            <v>Scheduled Number of Payments</v>
          </cell>
          <cell r="H7">
            <v>20</v>
          </cell>
        </row>
        <row r="8">
          <cell r="C8" t="str">
            <v>Loan Period in Years</v>
          </cell>
          <cell r="D8">
            <v>20</v>
          </cell>
          <cell r="G8" t="str">
            <v>Actual Number of Payments</v>
          </cell>
          <cell r="H8">
            <v>20</v>
          </cell>
        </row>
        <row r="9">
          <cell r="C9" t="str">
            <v>Number of Payments Per Year</v>
          </cell>
          <cell r="D9">
            <v>1</v>
          </cell>
          <cell r="G9" t="str">
            <v>Total Early Payments</v>
          </cell>
          <cell r="H9">
            <v>0</v>
          </cell>
        </row>
        <row r="10">
          <cell r="C10" t="str">
            <v>Start Date of Loan</v>
          </cell>
          <cell r="D10">
            <v>39814</v>
          </cell>
          <cell r="G10" t="str">
            <v>Total Interest</v>
          </cell>
          <cell r="H10">
            <v>943270.01314515655</v>
          </cell>
        </row>
        <row r="11">
          <cell r="C11" t="str">
            <v>Optional Extra Payments</v>
          </cell>
        </row>
        <row r="13">
          <cell r="B13" t="str">
            <v>Lender Name:</v>
          </cell>
        </row>
        <row r="16">
          <cell r="A16" t="str">
            <v>PmtNo.</v>
          </cell>
          <cell r="B16" t="str">
            <v>Payment Date</v>
          </cell>
          <cell r="C16" t="str">
            <v>Beginning Balance</v>
          </cell>
          <cell r="D16" t="str">
            <v>Scheduled Payment</v>
          </cell>
          <cell r="E16" t="str">
            <v>Extra Payment</v>
          </cell>
          <cell r="F16" t="str">
            <v>Total Payment</v>
          </cell>
          <cell r="G16" t="str">
            <v>Principal</v>
          </cell>
          <cell r="H16" t="str">
            <v>Interest</v>
          </cell>
          <cell r="I16" t="str">
            <v>Ending Balance</v>
          </cell>
        </row>
        <row r="18">
          <cell r="A18">
            <v>1</v>
          </cell>
          <cell r="B18">
            <v>40179</v>
          </cell>
          <cell r="C18">
            <v>2000000</v>
          </cell>
          <cell r="D18">
            <v>147163.50065725765</v>
          </cell>
          <cell r="E18">
            <v>0</v>
          </cell>
          <cell r="F18">
            <v>147163.50065725765</v>
          </cell>
          <cell r="G18">
            <v>67163.500657257653</v>
          </cell>
          <cell r="H18">
            <v>80000</v>
          </cell>
          <cell r="I18">
            <v>1932836.4993427424</v>
          </cell>
        </row>
        <row r="19">
          <cell r="A19">
            <v>2</v>
          </cell>
          <cell r="B19">
            <v>40544</v>
          </cell>
          <cell r="C19">
            <v>1932836.4993427424</v>
          </cell>
          <cell r="D19">
            <v>147163.50065725765</v>
          </cell>
          <cell r="E19">
            <v>0</v>
          </cell>
          <cell r="F19">
            <v>147163.50065725765</v>
          </cell>
          <cell r="G19">
            <v>69850.040683547952</v>
          </cell>
          <cell r="H19">
            <v>77313.459973709701</v>
          </cell>
          <cell r="I19">
            <v>1862986.4586591944</v>
          </cell>
        </row>
        <row r="20">
          <cell r="A20">
            <v>3</v>
          </cell>
          <cell r="B20">
            <v>40909</v>
          </cell>
          <cell r="C20">
            <v>1862986.4586591944</v>
          </cell>
          <cell r="D20">
            <v>147163.50065725765</v>
          </cell>
          <cell r="E20">
            <v>0</v>
          </cell>
          <cell r="F20">
            <v>147163.50065725765</v>
          </cell>
          <cell r="G20">
            <v>72644.042310889869</v>
          </cell>
          <cell r="H20">
            <v>74519.458346367785</v>
          </cell>
          <cell r="I20">
            <v>1790342.4163483046</v>
          </cell>
        </row>
        <row r="21">
          <cell r="A21">
            <v>4</v>
          </cell>
          <cell r="B21">
            <v>41275</v>
          </cell>
          <cell r="C21">
            <v>1790342.4163483046</v>
          </cell>
          <cell r="D21">
            <v>147163.50065725765</v>
          </cell>
          <cell r="E21">
            <v>0</v>
          </cell>
          <cell r="F21">
            <v>147163.50065725765</v>
          </cell>
          <cell r="G21">
            <v>75549.804003325466</v>
          </cell>
          <cell r="H21">
            <v>71613.696653932187</v>
          </cell>
          <cell r="I21">
            <v>1714792.6123449791</v>
          </cell>
        </row>
        <row r="22">
          <cell r="A22">
            <v>5</v>
          </cell>
          <cell r="B22">
            <v>41640</v>
          </cell>
          <cell r="C22">
            <v>1714792.6123449791</v>
          </cell>
          <cell r="D22">
            <v>147163.50065725765</v>
          </cell>
          <cell r="E22">
            <v>0</v>
          </cell>
          <cell r="F22">
            <v>147163.50065725765</v>
          </cell>
          <cell r="G22">
            <v>78571.796163458494</v>
          </cell>
          <cell r="H22">
            <v>68591.70449379916</v>
          </cell>
          <cell r="I22">
            <v>1636220.8161815205</v>
          </cell>
        </row>
        <row r="23">
          <cell r="A23">
            <v>6</v>
          </cell>
          <cell r="B23">
            <v>42005</v>
          </cell>
          <cell r="C23">
            <v>1636220.8161815205</v>
          </cell>
          <cell r="D23">
            <v>147163.50065725765</v>
          </cell>
          <cell r="E23">
            <v>0</v>
          </cell>
          <cell r="F23">
            <v>147163.50065725765</v>
          </cell>
          <cell r="G23">
            <v>81714.668009996836</v>
          </cell>
          <cell r="H23">
            <v>65448.832647260817</v>
          </cell>
          <cell r="I23">
            <v>1554506.1481715236</v>
          </cell>
        </row>
        <row r="24">
          <cell r="A24">
            <v>7</v>
          </cell>
          <cell r="B24">
            <v>42370</v>
          </cell>
          <cell r="C24">
            <v>1554506.1481715236</v>
          </cell>
          <cell r="D24">
            <v>147163.50065725765</v>
          </cell>
          <cell r="E24">
            <v>0</v>
          </cell>
          <cell r="F24">
            <v>147163.50065725765</v>
          </cell>
          <cell r="G24">
            <v>84983.2547303967</v>
          </cell>
          <cell r="H24">
            <v>62180.245926860945</v>
          </cell>
          <cell r="I24">
            <v>1469522.8934411269</v>
          </cell>
        </row>
        <row r="25">
          <cell r="A25">
            <v>8</v>
          </cell>
          <cell r="B25">
            <v>42736</v>
          </cell>
          <cell r="C25">
            <v>1469522.8934411269</v>
          </cell>
          <cell r="D25">
            <v>147163.50065725765</v>
          </cell>
          <cell r="E25">
            <v>0</v>
          </cell>
          <cell r="F25">
            <v>147163.50065725765</v>
          </cell>
          <cell r="G25">
            <v>88382.584919612578</v>
          </cell>
          <cell r="H25">
            <v>58780.915737645075</v>
          </cell>
          <cell r="I25">
            <v>1381140.3085215143</v>
          </cell>
        </row>
        <row r="26">
          <cell r="A26">
            <v>9</v>
          </cell>
          <cell r="B26">
            <v>43101</v>
          </cell>
          <cell r="C26">
            <v>1381140.3085215143</v>
          </cell>
          <cell r="D26">
            <v>147163.50065725765</v>
          </cell>
          <cell r="E26">
            <v>0</v>
          </cell>
          <cell r="F26">
            <v>147163.50065725765</v>
          </cell>
          <cell r="G26">
            <v>91917.88831639709</v>
          </cell>
          <cell r="H26">
            <v>55245.612340860571</v>
          </cell>
          <cell r="I26">
            <v>1289222.4202051172</v>
          </cell>
        </row>
        <row r="27">
          <cell r="A27">
            <v>10</v>
          </cell>
          <cell r="B27">
            <v>43466</v>
          </cell>
          <cell r="C27">
            <v>1289222.4202051172</v>
          </cell>
          <cell r="D27">
            <v>147163.50065725765</v>
          </cell>
          <cell r="E27">
            <v>0</v>
          </cell>
          <cell r="F27">
            <v>147163.50065725765</v>
          </cell>
          <cell r="G27">
            <v>95594.603849052961</v>
          </cell>
          <cell r="H27">
            <v>51568.896808204692</v>
          </cell>
          <cell r="I27">
            <v>1193627.8163560643</v>
          </cell>
        </row>
        <row r="28">
          <cell r="A28">
            <v>11</v>
          </cell>
          <cell r="B28">
            <v>43831</v>
          </cell>
          <cell r="C28">
            <v>1193627.8163560643</v>
          </cell>
          <cell r="D28">
            <v>147163.50065725765</v>
          </cell>
          <cell r="E28">
            <v>0</v>
          </cell>
          <cell r="F28">
            <v>147163.50065725765</v>
          </cell>
          <cell r="G28">
            <v>99418.388003015076</v>
          </cell>
          <cell r="H28">
            <v>47745.11265424257</v>
          </cell>
          <cell r="I28">
            <v>1094209.4283530493</v>
          </cell>
        </row>
        <row r="29">
          <cell r="A29">
            <v>12</v>
          </cell>
          <cell r="B29">
            <v>44197</v>
          </cell>
          <cell r="C29">
            <v>1094209.4283530493</v>
          </cell>
          <cell r="D29">
            <v>147163.50065725765</v>
          </cell>
          <cell r="E29">
            <v>0</v>
          </cell>
          <cell r="F29">
            <v>147163.50065725765</v>
          </cell>
          <cell r="G29">
            <v>103395.12352313567</v>
          </cell>
          <cell r="H29">
            <v>43768.377134121976</v>
          </cell>
          <cell r="I29">
            <v>990814.30482991366</v>
          </cell>
        </row>
        <row r="30">
          <cell r="A30">
            <v>13</v>
          </cell>
          <cell r="B30">
            <v>44562</v>
          </cell>
          <cell r="C30">
            <v>990814.30482991366</v>
          </cell>
          <cell r="D30">
            <v>147163.50065725765</v>
          </cell>
          <cell r="E30">
            <v>0</v>
          </cell>
          <cell r="F30">
            <v>147163.50065725765</v>
          </cell>
          <cell r="G30">
            <v>107530.92846406111</v>
          </cell>
          <cell r="H30">
            <v>39632.572193196545</v>
          </cell>
          <cell r="I30">
            <v>883283.37636585254</v>
          </cell>
        </row>
        <row r="31">
          <cell r="A31">
            <v>14</v>
          </cell>
          <cell r="B31">
            <v>44927</v>
          </cell>
          <cell r="C31">
            <v>883283.37636585254</v>
          </cell>
          <cell r="D31">
            <v>147163.50065725765</v>
          </cell>
          <cell r="E31">
            <v>0</v>
          </cell>
          <cell r="F31">
            <v>147163.50065725765</v>
          </cell>
          <cell r="G31">
            <v>111832.16560262354</v>
          </cell>
          <cell r="H31">
            <v>35331.335054634103</v>
          </cell>
          <cell r="I31">
            <v>771451.21076322906</v>
          </cell>
        </row>
        <row r="32">
          <cell r="A32">
            <v>15</v>
          </cell>
          <cell r="B32">
            <v>45292</v>
          </cell>
          <cell r="C32">
            <v>771451.21076322906</v>
          </cell>
          <cell r="D32">
            <v>147163.50065725765</v>
          </cell>
          <cell r="E32">
            <v>0</v>
          </cell>
          <cell r="F32">
            <v>147163.50065725765</v>
          </cell>
          <cell r="G32">
            <v>116305.45222672849</v>
          </cell>
          <cell r="H32">
            <v>30858.048430529161</v>
          </cell>
          <cell r="I32">
            <v>655145.75853650062</v>
          </cell>
        </row>
        <row r="33">
          <cell r="A33">
            <v>16</v>
          </cell>
          <cell r="B33">
            <v>45658</v>
          </cell>
          <cell r="C33">
            <v>655145.75853650062</v>
          </cell>
          <cell r="D33">
            <v>147163.50065725765</v>
          </cell>
          <cell r="E33">
            <v>0</v>
          </cell>
          <cell r="F33">
            <v>147163.50065725765</v>
          </cell>
          <cell r="G33">
            <v>120957.67031579763</v>
          </cell>
          <cell r="H33">
            <v>26205.830341460027</v>
          </cell>
          <cell r="I33">
            <v>534188.08822070295</v>
          </cell>
        </row>
        <row r="34">
          <cell r="A34">
            <v>17</v>
          </cell>
          <cell r="B34">
            <v>46023</v>
          </cell>
          <cell r="C34">
            <v>534188.08822070295</v>
          </cell>
          <cell r="D34">
            <v>147163.50065725765</v>
          </cell>
          <cell r="E34">
            <v>0</v>
          </cell>
          <cell r="F34">
            <v>147163.50065725765</v>
          </cell>
          <cell r="G34">
            <v>125795.97712842954</v>
          </cell>
          <cell r="H34">
            <v>21367.523528828118</v>
          </cell>
          <cell r="I34">
            <v>408392.11109227338</v>
          </cell>
        </row>
        <row r="35">
          <cell r="A35">
            <v>18</v>
          </cell>
          <cell r="B35">
            <v>46388</v>
          </cell>
          <cell r="C35">
            <v>408392.11109227338</v>
          </cell>
          <cell r="D35">
            <v>147163.50065725765</v>
          </cell>
          <cell r="E35">
            <v>0</v>
          </cell>
          <cell r="F35">
            <v>147163.50065725765</v>
          </cell>
          <cell r="G35">
            <v>130827.81621356672</v>
          </cell>
          <cell r="H35">
            <v>16335.684443690936</v>
          </cell>
          <cell r="I35">
            <v>277564.29487870669</v>
          </cell>
        </row>
        <row r="36">
          <cell r="A36">
            <v>19</v>
          </cell>
          <cell r="B36">
            <v>46753</v>
          </cell>
          <cell r="C36">
            <v>277564.29487870669</v>
          </cell>
          <cell r="D36">
            <v>147163.50065725765</v>
          </cell>
          <cell r="E36">
            <v>0</v>
          </cell>
          <cell r="F36">
            <v>147163.50065725765</v>
          </cell>
          <cell r="G36">
            <v>136060.92886210937</v>
          </cell>
          <cell r="H36">
            <v>11102.571795148267</v>
          </cell>
          <cell r="I36">
            <v>141503.36601659731</v>
          </cell>
        </row>
        <row r="37">
          <cell r="A37">
            <v>20</v>
          </cell>
          <cell r="B37">
            <v>47119</v>
          </cell>
          <cell r="C37">
            <v>141503.36601659731</v>
          </cell>
          <cell r="D37">
            <v>147163.50065725765</v>
          </cell>
          <cell r="E37">
            <v>0</v>
          </cell>
          <cell r="F37">
            <v>141503.36601659731</v>
          </cell>
          <cell r="G37">
            <v>135843.23137593342</v>
          </cell>
          <cell r="H37">
            <v>5660.1346406638922</v>
          </cell>
          <cell r="I37">
            <v>0</v>
          </cell>
        </row>
        <row r="38">
          <cell r="A38">
            <v>21</v>
          </cell>
          <cell r="B38">
            <v>47484</v>
          </cell>
          <cell r="C38">
            <v>0</v>
          </cell>
          <cell r="D38">
            <v>147163.50065725765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>
            <v>22</v>
          </cell>
          <cell r="B39">
            <v>47849</v>
          </cell>
          <cell r="C39">
            <v>0</v>
          </cell>
          <cell r="D39">
            <v>147163.50065725765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>
            <v>23</v>
          </cell>
          <cell r="B40">
            <v>48214</v>
          </cell>
          <cell r="C40">
            <v>0</v>
          </cell>
          <cell r="D40">
            <v>147163.50065725765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>
            <v>24</v>
          </cell>
          <cell r="B41">
            <v>48580</v>
          </cell>
          <cell r="C41">
            <v>0</v>
          </cell>
          <cell r="D41">
            <v>147163.50065725765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>
            <v>25</v>
          </cell>
          <cell r="B42">
            <v>48945</v>
          </cell>
          <cell r="C42">
            <v>0</v>
          </cell>
          <cell r="D42">
            <v>147163.50065725765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>
            <v>26</v>
          </cell>
          <cell r="B43">
            <v>49310</v>
          </cell>
          <cell r="C43">
            <v>0</v>
          </cell>
          <cell r="D43">
            <v>147163.50065725765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>
            <v>27</v>
          </cell>
          <cell r="B44">
            <v>49675</v>
          </cell>
          <cell r="C44">
            <v>0</v>
          </cell>
          <cell r="D44">
            <v>147163.50065725765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>
            <v>28</v>
          </cell>
          <cell r="B45">
            <v>50041</v>
          </cell>
          <cell r="C45">
            <v>0</v>
          </cell>
          <cell r="D45">
            <v>147163.50065725765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A46">
            <v>29</v>
          </cell>
          <cell r="B46">
            <v>50406</v>
          </cell>
          <cell r="C46">
            <v>0</v>
          </cell>
          <cell r="D46">
            <v>147163.50065725765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>
            <v>30</v>
          </cell>
          <cell r="B47">
            <v>50771</v>
          </cell>
          <cell r="C47">
            <v>0</v>
          </cell>
          <cell r="D47">
            <v>147163.50065725765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>
            <v>31</v>
          </cell>
          <cell r="B48">
            <v>51136</v>
          </cell>
          <cell r="C48">
            <v>0</v>
          </cell>
          <cell r="D48">
            <v>147163.50065725765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>
            <v>32</v>
          </cell>
          <cell r="B49">
            <v>51502</v>
          </cell>
          <cell r="C49">
            <v>0</v>
          </cell>
          <cell r="D49">
            <v>147163.50065725765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>
            <v>33</v>
          </cell>
          <cell r="B50">
            <v>51867</v>
          </cell>
          <cell r="C50">
            <v>0</v>
          </cell>
          <cell r="D50">
            <v>147163.50065725765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>
            <v>34</v>
          </cell>
          <cell r="B51">
            <v>52232</v>
          </cell>
          <cell r="C51">
            <v>0</v>
          </cell>
          <cell r="D51">
            <v>147163.50065725765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>
            <v>35</v>
          </cell>
          <cell r="B52">
            <v>52597</v>
          </cell>
          <cell r="C52">
            <v>0</v>
          </cell>
          <cell r="D52">
            <v>147163.50065725765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>
            <v>36</v>
          </cell>
          <cell r="B53">
            <v>52963</v>
          </cell>
          <cell r="C53">
            <v>0</v>
          </cell>
          <cell r="D53">
            <v>147163.50065725765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>
            <v>37</v>
          </cell>
          <cell r="B54">
            <v>53328</v>
          </cell>
          <cell r="C54">
            <v>0</v>
          </cell>
          <cell r="D54">
            <v>147163.50065725765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>
            <v>38</v>
          </cell>
          <cell r="B55">
            <v>53693</v>
          </cell>
          <cell r="C55">
            <v>0</v>
          </cell>
          <cell r="D55">
            <v>147163.50065725765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>
            <v>39</v>
          </cell>
          <cell r="B56">
            <v>54058</v>
          </cell>
          <cell r="C56">
            <v>0</v>
          </cell>
          <cell r="D56">
            <v>147163.50065725765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>
            <v>40</v>
          </cell>
          <cell r="B57">
            <v>54424</v>
          </cell>
          <cell r="C57">
            <v>0</v>
          </cell>
          <cell r="D57">
            <v>147163.50065725765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>
            <v>41</v>
          </cell>
          <cell r="B58">
            <v>54789</v>
          </cell>
          <cell r="C58">
            <v>0</v>
          </cell>
          <cell r="D58">
            <v>147163.50065725765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>
            <v>42</v>
          </cell>
          <cell r="B59">
            <v>55154</v>
          </cell>
          <cell r="C59">
            <v>0</v>
          </cell>
          <cell r="D59">
            <v>147163.50065725765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>
            <v>43</v>
          </cell>
          <cell r="B60">
            <v>55519</v>
          </cell>
          <cell r="C60">
            <v>0</v>
          </cell>
          <cell r="D60">
            <v>147163.50065725765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>
            <v>44</v>
          </cell>
          <cell r="B61">
            <v>55885</v>
          </cell>
          <cell r="C61">
            <v>0</v>
          </cell>
          <cell r="D61">
            <v>147163.50065725765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>
            <v>45</v>
          </cell>
          <cell r="B62">
            <v>56250</v>
          </cell>
          <cell r="C62">
            <v>0</v>
          </cell>
          <cell r="D62">
            <v>147163.50065725765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>
            <v>46</v>
          </cell>
          <cell r="B63">
            <v>56615</v>
          </cell>
          <cell r="C63">
            <v>0</v>
          </cell>
          <cell r="D63">
            <v>147163.50065725765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>
            <v>47</v>
          </cell>
          <cell r="B64">
            <v>56980</v>
          </cell>
          <cell r="C64">
            <v>0</v>
          </cell>
          <cell r="D64">
            <v>147163.50065725765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>
            <v>48</v>
          </cell>
          <cell r="B65">
            <v>57346</v>
          </cell>
          <cell r="C65">
            <v>0</v>
          </cell>
          <cell r="D65">
            <v>147163.50065725765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>
            <v>49</v>
          </cell>
          <cell r="B66">
            <v>57711</v>
          </cell>
          <cell r="C66">
            <v>0</v>
          </cell>
          <cell r="D66">
            <v>147163.50065725765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>
            <v>50</v>
          </cell>
          <cell r="B67">
            <v>58076</v>
          </cell>
          <cell r="C67">
            <v>0</v>
          </cell>
          <cell r="D67">
            <v>147163.50065725765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>
            <v>51</v>
          </cell>
          <cell r="B68">
            <v>58441</v>
          </cell>
          <cell r="C68">
            <v>0</v>
          </cell>
          <cell r="D68">
            <v>147163.50065725765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>
            <v>52</v>
          </cell>
          <cell r="B69">
            <v>58807</v>
          </cell>
          <cell r="C69">
            <v>0</v>
          </cell>
          <cell r="D69">
            <v>147163.50065725765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>
            <v>53</v>
          </cell>
          <cell r="B70">
            <v>59172</v>
          </cell>
          <cell r="C70">
            <v>0</v>
          </cell>
          <cell r="D70">
            <v>147163.50065725765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>
            <v>54</v>
          </cell>
          <cell r="B71">
            <v>59537</v>
          </cell>
          <cell r="C71">
            <v>0</v>
          </cell>
          <cell r="D71">
            <v>147163.50065725765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>
            <v>55</v>
          </cell>
          <cell r="B72">
            <v>59902</v>
          </cell>
          <cell r="C72">
            <v>0</v>
          </cell>
          <cell r="D72">
            <v>147163.50065725765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>
            <v>56</v>
          </cell>
          <cell r="B73">
            <v>60268</v>
          </cell>
          <cell r="C73">
            <v>0</v>
          </cell>
          <cell r="D73">
            <v>147163.50065725765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>
            <v>57</v>
          </cell>
          <cell r="B74">
            <v>60633</v>
          </cell>
          <cell r="C74">
            <v>0</v>
          </cell>
          <cell r="D74">
            <v>147163.50065725765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>
            <v>58</v>
          </cell>
          <cell r="B75">
            <v>60998</v>
          </cell>
          <cell r="C75">
            <v>0</v>
          </cell>
          <cell r="D75">
            <v>147163.50065725765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>
            <v>59</v>
          </cell>
          <cell r="B76">
            <v>61363</v>
          </cell>
          <cell r="C76">
            <v>0</v>
          </cell>
          <cell r="D76">
            <v>147163.50065725765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>
            <v>60</v>
          </cell>
          <cell r="B77">
            <v>61729</v>
          </cell>
          <cell r="C77">
            <v>0</v>
          </cell>
          <cell r="D77">
            <v>147163.50065725765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>
            <v>61</v>
          </cell>
          <cell r="B78">
            <v>62094</v>
          </cell>
          <cell r="C78">
            <v>0</v>
          </cell>
          <cell r="D78">
            <v>147163.50065725765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>
            <v>62</v>
          </cell>
          <cell r="B79">
            <v>62459</v>
          </cell>
          <cell r="C79">
            <v>0</v>
          </cell>
          <cell r="D79">
            <v>147163.50065725765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>
            <v>63</v>
          </cell>
          <cell r="B80">
            <v>62824</v>
          </cell>
          <cell r="C80">
            <v>0</v>
          </cell>
          <cell r="D80">
            <v>147163.50065725765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>
            <v>64</v>
          </cell>
          <cell r="B81">
            <v>63190</v>
          </cell>
          <cell r="C81">
            <v>0</v>
          </cell>
          <cell r="D81">
            <v>147163.50065725765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65</v>
          </cell>
          <cell r="B82">
            <v>63555</v>
          </cell>
          <cell r="C82">
            <v>0</v>
          </cell>
          <cell r="D82">
            <v>147163.50065725765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>
            <v>66</v>
          </cell>
          <cell r="B83">
            <v>63920</v>
          </cell>
          <cell r="C83">
            <v>0</v>
          </cell>
          <cell r="D83">
            <v>147163.50065725765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67</v>
          </cell>
          <cell r="B84">
            <v>64285</v>
          </cell>
          <cell r="C84">
            <v>0</v>
          </cell>
          <cell r="D84">
            <v>147163.50065725765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68</v>
          </cell>
          <cell r="B85">
            <v>64651</v>
          </cell>
          <cell r="C85">
            <v>0</v>
          </cell>
          <cell r="D85">
            <v>147163.50065725765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69</v>
          </cell>
          <cell r="B86">
            <v>65016</v>
          </cell>
          <cell r="C86">
            <v>0</v>
          </cell>
          <cell r="D86">
            <v>147163.50065725765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>
            <v>70</v>
          </cell>
          <cell r="B87">
            <v>65381</v>
          </cell>
          <cell r="C87">
            <v>0</v>
          </cell>
          <cell r="D87">
            <v>147163.50065725765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>
            <v>71</v>
          </cell>
          <cell r="B88">
            <v>65746</v>
          </cell>
          <cell r="C88">
            <v>0</v>
          </cell>
          <cell r="D88">
            <v>147163.50065725765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>
            <v>72</v>
          </cell>
          <cell r="B89">
            <v>66112</v>
          </cell>
          <cell r="C89">
            <v>0</v>
          </cell>
          <cell r="D89">
            <v>147163.50065725765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>
            <v>73</v>
          </cell>
          <cell r="B90">
            <v>66477</v>
          </cell>
          <cell r="C90">
            <v>0</v>
          </cell>
          <cell r="D90">
            <v>147163.50065725765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74</v>
          </cell>
          <cell r="B91">
            <v>66842</v>
          </cell>
          <cell r="C91">
            <v>0</v>
          </cell>
          <cell r="D91">
            <v>147163.50065725765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>
            <v>75</v>
          </cell>
          <cell r="B92">
            <v>67207</v>
          </cell>
          <cell r="C92">
            <v>0</v>
          </cell>
          <cell r="D92">
            <v>147163.50065725765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>
            <v>76</v>
          </cell>
          <cell r="B93">
            <v>67573</v>
          </cell>
          <cell r="C93">
            <v>0</v>
          </cell>
          <cell r="D93">
            <v>147163.50065725765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>
            <v>77</v>
          </cell>
          <cell r="B94">
            <v>67938</v>
          </cell>
          <cell r="C94">
            <v>0</v>
          </cell>
          <cell r="D94">
            <v>147163.50065725765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>
            <v>78</v>
          </cell>
          <cell r="B95">
            <v>68303</v>
          </cell>
          <cell r="C95">
            <v>0</v>
          </cell>
          <cell r="D95">
            <v>147163.50065725765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>
            <v>79</v>
          </cell>
          <cell r="B96">
            <v>68668</v>
          </cell>
          <cell r="C96">
            <v>0</v>
          </cell>
          <cell r="D96">
            <v>147163.50065725765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>
            <v>80</v>
          </cell>
          <cell r="B97">
            <v>69034</v>
          </cell>
          <cell r="C97">
            <v>0</v>
          </cell>
          <cell r="D97">
            <v>147163.50065725765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>
            <v>81</v>
          </cell>
          <cell r="B98">
            <v>69399</v>
          </cell>
          <cell r="C98">
            <v>0</v>
          </cell>
          <cell r="D98">
            <v>147163.50065725765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82</v>
          </cell>
          <cell r="B99">
            <v>69764</v>
          </cell>
          <cell r="C99">
            <v>0</v>
          </cell>
          <cell r="D99">
            <v>147163.50065725765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83</v>
          </cell>
          <cell r="B100">
            <v>70129</v>
          </cell>
          <cell r="C100">
            <v>0</v>
          </cell>
          <cell r="D100">
            <v>147163.50065725765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84</v>
          </cell>
          <cell r="B101">
            <v>70495</v>
          </cell>
          <cell r="C101">
            <v>0</v>
          </cell>
          <cell r="D101">
            <v>147163.50065725765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85</v>
          </cell>
          <cell r="B102">
            <v>70860</v>
          </cell>
          <cell r="C102">
            <v>0</v>
          </cell>
          <cell r="D102">
            <v>147163.50065725765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86</v>
          </cell>
          <cell r="B103">
            <v>71225</v>
          </cell>
          <cell r="C103">
            <v>0</v>
          </cell>
          <cell r="D103">
            <v>147163.50065725765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87</v>
          </cell>
          <cell r="B104">
            <v>71590</v>
          </cell>
          <cell r="C104">
            <v>0</v>
          </cell>
          <cell r="D104">
            <v>147163.50065725765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>
            <v>88</v>
          </cell>
          <cell r="B105">
            <v>71956</v>
          </cell>
          <cell r="C105">
            <v>0</v>
          </cell>
          <cell r="D105">
            <v>147163.50065725765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>
            <v>89</v>
          </cell>
          <cell r="B106">
            <v>72321</v>
          </cell>
          <cell r="C106">
            <v>0</v>
          </cell>
          <cell r="D106">
            <v>147163.50065725765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>
            <v>90</v>
          </cell>
          <cell r="B107">
            <v>72686</v>
          </cell>
          <cell r="C107">
            <v>0</v>
          </cell>
          <cell r="D107">
            <v>147163.50065725765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>
            <v>91</v>
          </cell>
          <cell r="B108">
            <v>73051</v>
          </cell>
          <cell r="C108">
            <v>0</v>
          </cell>
          <cell r="D108">
            <v>147163.50065725765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>
            <v>92</v>
          </cell>
          <cell r="B109">
            <v>73416</v>
          </cell>
          <cell r="C109">
            <v>0</v>
          </cell>
          <cell r="D109">
            <v>147163.50065725765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>
            <v>93</v>
          </cell>
          <cell r="B110">
            <v>73781</v>
          </cell>
          <cell r="C110">
            <v>0</v>
          </cell>
          <cell r="D110">
            <v>147163.50065725765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>
            <v>94</v>
          </cell>
          <cell r="B111">
            <v>74146</v>
          </cell>
          <cell r="C111">
            <v>0</v>
          </cell>
          <cell r="D111">
            <v>147163.50065725765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>
            <v>95</v>
          </cell>
          <cell r="B112">
            <v>74511</v>
          </cell>
          <cell r="C112">
            <v>0</v>
          </cell>
          <cell r="D112">
            <v>147163.50065725765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>
            <v>96</v>
          </cell>
          <cell r="B113">
            <v>74877</v>
          </cell>
          <cell r="C113">
            <v>0</v>
          </cell>
          <cell r="D113">
            <v>147163.50065725765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>
            <v>97</v>
          </cell>
          <cell r="B114">
            <v>75242</v>
          </cell>
          <cell r="C114">
            <v>0</v>
          </cell>
          <cell r="D114">
            <v>147163.50065725765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>
            <v>98</v>
          </cell>
          <cell r="B115">
            <v>75607</v>
          </cell>
          <cell r="C115">
            <v>0</v>
          </cell>
          <cell r="D115">
            <v>147163.50065725765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>
            <v>99</v>
          </cell>
          <cell r="B116">
            <v>75972</v>
          </cell>
          <cell r="C116">
            <v>0</v>
          </cell>
          <cell r="D116">
            <v>147163.50065725765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>
            <v>100</v>
          </cell>
          <cell r="B117">
            <v>76338</v>
          </cell>
          <cell r="C117">
            <v>0</v>
          </cell>
          <cell r="D117">
            <v>147163.50065725765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>
            <v>101</v>
          </cell>
          <cell r="B118">
            <v>76703</v>
          </cell>
          <cell r="C118">
            <v>0</v>
          </cell>
          <cell r="D118">
            <v>147163.50065725765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>
            <v>102</v>
          </cell>
          <cell r="B119">
            <v>77068</v>
          </cell>
          <cell r="C119">
            <v>0</v>
          </cell>
          <cell r="D119">
            <v>147163.50065725765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>
            <v>103</v>
          </cell>
          <cell r="B120">
            <v>77433</v>
          </cell>
          <cell r="C120">
            <v>0</v>
          </cell>
          <cell r="D120">
            <v>147163.50065725765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>
            <v>104</v>
          </cell>
          <cell r="B121">
            <v>77799</v>
          </cell>
          <cell r="C121">
            <v>0</v>
          </cell>
          <cell r="D121">
            <v>147163.50065725765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>
            <v>105</v>
          </cell>
          <cell r="B122">
            <v>78164</v>
          </cell>
          <cell r="C122">
            <v>0</v>
          </cell>
          <cell r="D122">
            <v>147163.50065725765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>
            <v>106</v>
          </cell>
          <cell r="B123">
            <v>78529</v>
          </cell>
          <cell r="C123">
            <v>0</v>
          </cell>
          <cell r="D123">
            <v>147163.50065725765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>
            <v>107</v>
          </cell>
          <cell r="B124">
            <v>78894</v>
          </cell>
          <cell r="C124">
            <v>0</v>
          </cell>
          <cell r="D124">
            <v>147163.50065725765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>
            <v>108</v>
          </cell>
          <cell r="B125">
            <v>79260</v>
          </cell>
          <cell r="C125">
            <v>0</v>
          </cell>
          <cell r="D125">
            <v>147163.50065725765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>
            <v>109</v>
          </cell>
          <cell r="B126">
            <v>79625</v>
          </cell>
          <cell r="C126">
            <v>0</v>
          </cell>
          <cell r="D126">
            <v>147163.50065725765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>
            <v>110</v>
          </cell>
          <cell r="B127">
            <v>79990</v>
          </cell>
          <cell r="C127">
            <v>0</v>
          </cell>
          <cell r="D127">
            <v>147163.50065725765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>
            <v>111</v>
          </cell>
          <cell r="B128">
            <v>80355</v>
          </cell>
          <cell r="C128">
            <v>0</v>
          </cell>
          <cell r="D128">
            <v>147163.50065725765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>
            <v>112</v>
          </cell>
          <cell r="B129">
            <v>80721</v>
          </cell>
          <cell r="C129">
            <v>0</v>
          </cell>
          <cell r="D129">
            <v>147163.50065725765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>
            <v>113</v>
          </cell>
          <cell r="B130">
            <v>81086</v>
          </cell>
          <cell r="C130">
            <v>0</v>
          </cell>
          <cell r="D130">
            <v>147163.50065725765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>
            <v>114</v>
          </cell>
          <cell r="B131">
            <v>81451</v>
          </cell>
          <cell r="C131">
            <v>0</v>
          </cell>
          <cell r="D131">
            <v>147163.50065725765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>
            <v>115</v>
          </cell>
          <cell r="B132">
            <v>81816</v>
          </cell>
          <cell r="C132">
            <v>0</v>
          </cell>
          <cell r="D132">
            <v>147163.50065725765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>
            <v>116</v>
          </cell>
          <cell r="B133">
            <v>82182</v>
          </cell>
          <cell r="C133">
            <v>0</v>
          </cell>
          <cell r="D133">
            <v>147163.50065725765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117</v>
          </cell>
          <cell r="B134">
            <v>82547</v>
          </cell>
          <cell r="C134">
            <v>0</v>
          </cell>
          <cell r="D134">
            <v>147163.50065725765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118</v>
          </cell>
          <cell r="B135">
            <v>82912</v>
          </cell>
          <cell r="C135">
            <v>0</v>
          </cell>
          <cell r="D135">
            <v>147163.50065725765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119</v>
          </cell>
          <cell r="B136">
            <v>83277</v>
          </cell>
          <cell r="C136">
            <v>0</v>
          </cell>
          <cell r="D136">
            <v>147163.50065725765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120</v>
          </cell>
          <cell r="B137">
            <v>83643</v>
          </cell>
          <cell r="C137">
            <v>0</v>
          </cell>
          <cell r="D137">
            <v>147163.50065725765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121</v>
          </cell>
          <cell r="B138">
            <v>84008</v>
          </cell>
          <cell r="C138">
            <v>0</v>
          </cell>
          <cell r="D138">
            <v>147163.50065725765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122</v>
          </cell>
          <cell r="B139">
            <v>84373</v>
          </cell>
          <cell r="C139">
            <v>0</v>
          </cell>
          <cell r="D139">
            <v>147163.50065725765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123</v>
          </cell>
          <cell r="B140">
            <v>84738</v>
          </cell>
          <cell r="C140">
            <v>0</v>
          </cell>
          <cell r="D140">
            <v>147163.50065725765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124</v>
          </cell>
          <cell r="B141">
            <v>85104</v>
          </cell>
          <cell r="C141">
            <v>0</v>
          </cell>
          <cell r="D141">
            <v>147163.50065725765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125</v>
          </cell>
          <cell r="B142">
            <v>85469</v>
          </cell>
          <cell r="C142">
            <v>0</v>
          </cell>
          <cell r="D142">
            <v>147163.50065725765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126</v>
          </cell>
          <cell r="B143">
            <v>85834</v>
          </cell>
          <cell r="C143">
            <v>0</v>
          </cell>
          <cell r="D143">
            <v>147163.50065725765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127</v>
          </cell>
          <cell r="B144">
            <v>86199</v>
          </cell>
          <cell r="C144">
            <v>0</v>
          </cell>
          <cell r="D144">
            <v>147163.50065725765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128</v>
          </cell>
          <cell r="B145">
            <v>86565</v>
          </cell>
          <cell r="C145">
            <v>0</v>
          </cell>
          <cell r="D145">
            <v>147163.50065725765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129</v>
          </cell>
          <cell r="B146">
            <v>86930</v>
          </cell>
          <cell r="C146">
            <v>0</v>
          </cell>
          <cell r="D146">
            <v>147163.50065725765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130</v>
          </cell>
          <cell r="B147">
            <v>87295</v>
          </cell>
          <cell r="C147">
            <v>0</v>
          </cell>
          <cell r="D147">
            <v>147163.50065725765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131</v>
          </cell>
          <cell r="B148">
            <v>87660</v>
          </cell>
          <cell r="C148">
            <v>0</v>
          </cell>
          <cell r="D148">
            <v>147163.50065725765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132</v>
          </cell>
          <cell r="B149">
            <v>88026</v>
          </cell>
          <cell r="C149">
            <v>0</v>
          </cell>
          <cell r="D149">
            <v>147163.50065725765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133</v>
          </cell>
          <cell r="B150">
            <v>88391</v>
          </cell>
          <cell r="C150">
            <v>0</v>
          </cell>
          <cell r="D150">
            <v>147163.50065725765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134</v>
          </cell>
          <cell r="B151">
            <v>88756</v>
          </cell>
          <cell r="C151">
            <v>0</v>
          </cell>
          <cell r="D151">
            <v>147163.50065725765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135</v>
          </cell>
          <cell r="B152">
            <v>89121</v>
          </cell>
          <cell r="C152">
            <v>0</v>
          </cell>
          <cell r="D152">
            <v>147163.50065725765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136</v>
          </cell>
          <cell r="B153">
            <v>89487</v>
          </cell>
          <cell r="C153">
            <v>0</v>
          </cell>
          <cell r="D153">
            <v>147163.50065725765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137</v>
          </cell>
          <cell r="B154">
            <v>89852</v>
          </cell>
          <cell r="C154">
            <v>0</v>
          </cell>
          <cell r="D154">
            <v>147163.50065725765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138</v>
          </cell>
          <cell r="B155">
            <v>90217</v>
          </cell>
          <cell r="C155">
            <v>0</v>
          </cell>
          <cell r="D155">
            <v>147163.50065725765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139</v>
          </cell>
          <cell r="B156">
            <v>90582</v>
          </cell>
          <cell r="C156">
            <v>0</v>
          </cell>
          <cell r="D156">
            <v>147163.50065725765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140</v>
          </cell>
          <cell r="B157">
            <v>90948</v>
          </cell>
          <cell r="C157">
            <v>0</v>
          </cell>
          <cell r="D157">
            <v>147163.50065725765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141</v>
          </cell>
          <cell r="B158">
            <v>91313</v>
          </cell>
          <cell r="C158">
            <v>0</v>
          </cell>
          <cell r="D158">
            <v>147163.50065725765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142</v>
          </cell>
          <cell r="B159">
            <v>91678</v>
          </cell>
          <cell r="C159">
            <v>0</v>
          </cell>
          <cell r="D159">
            <v>147163.50065725765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143</v>
          </cell>
          <cell r="B160">
            <v>92043</v>
          </cell>
          <cell r="C160">
            <v>0</v>
          </cell>
          <cell r="D160">
            <v>147163.50065725765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144</v>
          </cell>
          <cell r="B161">
            <v>92409</v>
          </cell>
          <cell r="C161">
            <v>0</v>
          </cell>
          <cell r="D161">
            <v>147163.50065725765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145</v>
          </cell>
          <cell r="B162">
            <v>92774</v>
          </cell>
          <cell r="C162">
            <v>0</v>
          </cell>
          <cell r="D162">
            <v>147163.50065725765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146</v>
          </cell>
          <cell r="B163">
            <v>93139</v>
          </cell>
          <cell r="C163">
            <v>0</v>
          </cell>
          <cell r="D163">
            <v>147163.50065725765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147</v>
          </cell>
          <cell r="B164">
            <v>93504</v>
          </cell>
          <cell r="C164">
            <v>0</v>
          </cell>
          <cell r="D164">
            <v>147163.50065725765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148</v>
          </cell>
          <cell r="B165">
            <v>93870</v>
          </cell>
          <cell r="C165">
            <v>0</v>
          </cell>
          <cell r="D165">
            <v>147163.50065725765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149</v>
          </cell>
          <cell r="B166">
            <v>94235</v>
          </cell>
          <cell r="C166">
            <v>0</v>
          </cell>
          <cell r="D166">
            <v>147163.50065725765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150</v>
          </cell>
          <cell r="B167">
            <v>94600</v>
          </cell>
          <cell r="C167">
            <v>0</v>
          </cell>
          <cell r="D167">
            <v>147163.50065725765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151</v>
          </cell>
          <cell r="B168">
            <v>94965</v>
          </cell>
          <cell r="C168">
            <v>0</v>
          </cell>
          <cell r="D168">
            <v>147163.50065725765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152</v>
          </cell>
          <cell r="B169">
            <v>95331</v>
          </cell>
          <cell r="C169">
            <v>0</v>
          </cell>
          <cell r="D169">
            <v>147163.50065725765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153</v>
          </cell>
          <cell r="B170">
            <v>95696</v>
          </cell>
          <cell r="C170">
            <v>0</v>
          </cell>
          <cell r="D170">
            <v>147163.50065725765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154</v>
          </cell>
          <cell r="B171">
            <v>96061</v>
          </cell>
          <cell r="C171">
            <v>0</v>
          </cell>
          <cell r="D171">
            <v>147163.50065725765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155</v>
          </cell>
          <cell r="B172">
            <v>96426</v>
          </cell>
          <cell r="C172">
            <v>0</v>
          </cell>
          <cell r="D172">
            <v>147163.50065725765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156</v>
          </cell>
          <cell r="B173">
            <v>96792</v>
          </cell>
          <cell r="C173">
            <v>0</v>
          </cell>
          <cell r="D173">
            <v>147163.50065725765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157</v>
          </cell>
          <cell r="B174">
            <v>97157</v>
          </cell>
          <cell r="C174">
            <v>0</v>
          </cell>
          <cell r="D174">
            <v>147163.50065725765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158</v>
          </cell>
          <cell r="B175">
            <v>97522</v>
          </cell>
          <cell r="C175">
            <v>0</v>
          </cell>
          <cell r="D175">
            <v>147163.50065725765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159</v>
          </cell>
          <cell r="B176">
            <v>97887</v>
          </cell>
          <cell r="C176">
            <v>0</v>
          </cell>
          <cell r="D176">
            <v>147163.50065725765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160</v>
          </cell>
          <cell r="B177">
            <v>98253</v>
          </cell>
          <cell r="C177">
            <v>0</v>
          </cell>
          <cell r="D177">
            <v>147163.50065725765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161</v>
          </cell>
          <cell r="B178">
            <v>98618</v>
          </cell>
          <cell r="C178">
            <v>0</v>
          </cell>
          <cell r="D178">
            <v>147163.50065725765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162</v>
          </cell>
          <cell r="B179">
            <v>98983</v>
          </cell>
          <cell r="C179">
            <v>0</v>
          </cell>
          <cell r="D179">
            <v>147163.50065725765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163</v>
          </cell>
          <cell r="B180">
            <v>99348</v>
          </cell>
          <cell r="C180">
            <v>0</v>
          </cell>
          <cell r="D180">
            <v>147163.50065725765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164</v>
          </cell>
          <cell r="B181">
            <v>99714</v>
          </cell>
          <cell r="C181">
            <v>0</v>
          </cell>
          <cell r="D181">
            <v>147163.50065725765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165</v>
          </cell>
          <cell r="B182">
            <v>100079</v>
          </cell>
          <cell r="C182">
            <v>0</v>
          </cell>
          <cell r="D182">
            <v>147163.50065725765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166</v>
          </cell>
          <cell r="B183">
            <v>100444</v>
          </cell>
          <cell r="C183">
            <v>0</v>
          </cell>
          <cell r="D183">
            <v>147163.50065725765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167</v>
          </cell>
          <cell r="B184">
            <v>100809</v>
          </cell>
          <cell r="C184">
            <v>0</v>
          </cell>
          <cell r="D184">
            <v>147163.50065725765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168</v>
          </cell>
          <cell r="B185">
            <v>101175</v>
          </cell>
          <cell r="C185">
            <v>0</v>
          </cell>
          <cell r="D185">
            <v>147163.50065725765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169</v>
          </cell>
          <cell r="B186">
            <v>101540</v>
          </cell>
          <cell r="C186">
            <v>0</v>
          </cell>
          <cell r="D186">
            <v>147163.50065725765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170</v>
          </cell>
          <cell r="B187">
            <v>101905</v>
          </cell>
          <cell r="C187">
            <v>0</v>
          </cell>
          <cell r="D187">
            <v>147163.50065725765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171</v>
          </cell>
          <cell r="B188">
            <v>102270</v>
          </cell>
          <cell r="C188">
            <v>0</v>
          </cell>
          <cell r="D188">
            <v>147163.50065725765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172</v>
          </cell>
          <cell r="B189">
            <v>102636</v>
          </cell>
          <cell r="C189">
            <v>0</v>
          </cell>
          <cell r="D189">
            <v>147163.50065725765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173</v>
          </cell>
          <cell r="B190">
            <v>103001</v>
          </cell>
          <cell r="C190">
            <v>0</v>
          </cell>
          <cell r="D190">
            <v>147163.50065725765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174</v>
          </cell>
          <cell r="B191">
            <v>103366</v>
          </cell>
          <cell r="C191">
            <v>0</v>
          </cell>
          <cell r="D191">
            <v>147163.50065725765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175</v>
          </cell>
          <cell r="B192">
            <v>103731</v>
          </cell>
          <cell r="C192">
            <v>0</v>
          </cell>
          <cell r="D192">
            <v>147163.50065725765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176</v>
          </cell>
          <cell r="B193">
            <v>104097</v>
          </cell>
          <cell r="C193">
            <v>0</v>
          </cell>
          <cell r="D193">
            <v>147163.50065725765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177</v>
          </cell>
          <cell r="B194">
            <v>104462</v>
          </cell>
          <cell r="C194">
            <v>0</v>
          </cell>
          <cell r="D194">
            <v>147163.50065725765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178</v>
          </cell>
          <cell r="B195">
            <v>104827</v>
          </cell>
          <cell r="C195">
            <v>0</v>
          </cell>
          <cell r="D195">
            <v>147163.50065725765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179</v>
          </cell>
          <cell r="B196">
            <v>105192</v>
          </cell>
          <cell r="C196">
            <v>0</v>
          </cell>
          <cell r="D196">
            <v>147163.50065725765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180</v>
          </cell>
          <cell r="B197">
            <v>105558</v>
          </cell>
          <cell r="C197">
            <v>0</v>
          </cell>
          <cell r="D197">
            <v>147163.50065725765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181</v>
          </cell>
          <cell r="B198">
            <v>105923</v>
          </cell>
          <cell r="C198">
            <v>0</v>
          </cell>
          <cell r="D198">
            <v>147163.50065725765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106288</v>
          </cell>
          <cell r="C199">
            <v>0</v>
          </cell>
          <cell r="D199">
            <v>147163.50065725765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106653</v>
          </cell>
          <cell r="C200">
            <v>0</v>
          </cell>
          <cell r="D200">
            <v>147163.50065725765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107019</v>
          </cell>
          <cell r="C201">
            <v>0</v>
          </cell>
          <cell r="D201">
            <v>147163.50065725765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107384</v>
          </cell>
          <cell r="C202">
            <v>0</v>
          </cell>
          <cell r="D202">
            <v>147163.50065725765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107749</v>
          </cell>
          <cell r="C203">
            <v>0</v>
          </cell>
          <cell r="D203">
            <v>147163.50065725765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108114</v>
          </cell>
          <cell r="C204">
            <v>0</v>
          </cell>
          <cell r="D204">
            <v>147163.50065725765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108480</v>
          </cell>
          <cell r="C205">
            <v>0</v>
          </cell>
          <cell r="D205">
            <v>147163.50065725765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108845</v>
          </cell>
          <cell r="C206">
            <v>0</v>
          </cell>
          <cell r="D206">
            <v>147163.50065725765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109210</v>
          </cell>
          <cell r="C207">
            <v>0</v>
          </cell>
          <cell r="D207">
            <v>147163.50065725765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109575</v>
          </cell>
          <cell r="C208">
            <v>0</v>
          </cell>
          <cell r="D208">
            <v>147163.50065725765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109940</v>
          </cell>
          <cell r="C209">
            <v>0</v>
          </cell>
          <cell r="D209">
            <v>147163.50065725765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110305</v>
          </cell>
          <cell r="C210">
            <v>0</v>
          </cell>
          <cell r="D210">
            <v>147163.50065725765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110670</v>
          </cell>
          <cell r="C211">
            <v>0</v>
          </cell>
          <cell r="D211">
            <v>147163.50065725765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111035</v>
          </cell>
          <cell r="C212">
            <v>0</v>
          </cell>
          <cell r="D212">
            <v>147163.50065725765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111401</v>
          </cell>
          <cell r="C213">
            <v>0</v>
          </cell>
          <cell r="D213">
            <v>147163.50065725765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111766</v>
          </cell>
          <cell r="C214">
            <v>0</v>
          </cell>
          <cell r="D214">
            <v>147163.50065725765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112131</v>
          </cell>
          <cell r="C215">
            <v>0</v>
          </cell>
          <cell r="D215">
            <v>147163.50065725765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112496</v>
          </cell>
          <cell r="C216">
            <v>0</v>
          </cell>
          <cell r="D216">
            <v>147163.50065725765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112862</v>
          </cell>
          <cell r="C217">
            <v>0</v>
          </cell>
          <cell r="D217">
            <v>147163.50065725765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113227</v>
          </cell>
          <cell r="C218">
            <v>0</v>
          </cell>
          <cell r="D218">
            <v>147163.50065725765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113592</v>
          </cell>
          <cell r="C219">
            <v>0</v>
          </cell>
          <cell r="D219">
            <v>147163.50065725765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113957</v>
          </cell>
          <cell r="C220">
            <v>0</v>
          </cell>
          <cell r="D220">
            <v>147163.50065725765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114323</v>
          </cell>
          <cell r="C221">
            <v>0</v>
          </cell>
          <cell r="D221">
            <v>147163.50065725765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114688</v>
          </cell>
          <cell r="C222">
            <v>0</v>
          </cell>
          <cell r="D222">
            <v>147163.50065725765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115053</v>
          </cell>
          <cell r="C223">
            <v>0</v>
          </cell>
          <cell r="D223">
            <v>147163.50065725765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115418</v>
          </cell>
          <cell r="C224">
            <v>0</v>
          </cell>
          <cell r="D224">
            <v>147163.50065725765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115784</v>
          </cell>
          <cell r="C225">
            <v>0</v>
          </cell>
          <cell r="D225">
            <v>147163.50065725765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116149</v>
          </cell>
          <cell r="C226">
            <v>0</v>
          </cell>
          <cell r="D226">
            <v>147163.50065725765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116514</v>
          </cell>
          <cell r="C227">
            <v>0</v>
          </cell>
          <cell r="D227">
            <v>147163.50065725765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116879</v>
          </cell>
          <cell r="C228">
            <v>0</v>
          </cell>
          <cell r="D228">
            <v>147163.50065725765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117245</v>
          </cell>
          <cell r="C229">
            <v>0</v>
          </cell>
          <cell r="D229">
            <v>147163.50065725765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117610</v>
          </cell>
          <cell r="C230">
            <v>0</v>
          </cell>
          <cell r="D230">
            <v>147163.50065725765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117975</v>
          </cell>
          <cell r="C231">
            <v>0</v>
          </cell>
          <cell r="D231">
            <v>147163.50065725765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118340</v>
          </cell>
          <cell r="C232">
            <v>0</v>
          </cell>
          <cell r="D232">
            <v>147163.50065725765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118706</v>
          </cell>
          <cell r="C233">
            <v>0</v>
          </cell>
          <cell r="D233">
            <v>147163.50065725765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119071</v>
          </cell>
          <cell r="C234">
            <v>0</v>
          </cell>
          <cell r="D234">
            <v>147163.50065725765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119436</v>
          </cell>
          <cell r="C235">
            <v>0</v>
          </cell>
          <cell r="D235">
            <v>147163.50065725765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119801</v>
          </cell>
          <cell r="C236">
            <v>0</v>
          </cell>
          <cell r="D236">
            <v>147163.50065725765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120167</v>
          </cell>
          <cell r="C237">
            <v>0</v>
          </cell>
          <cell r="D237">
            <v>147163.50065725765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120532</v>
          </cell>
          <cell r="C238">
            <v>0</v>
          </cell>
          <cell r="D238">
            <v>147163.50065725765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120897</v>
          </cell>
          <cell r="C239">
            <v>0</v>
          </cell>
          <cell r="D239">
            <v>147163.50065725765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121262</v>
          </cell>
          <cell r="C240">
            <v>0</v>
          </cell>
          <cell r="D240">
            <v>147163.50065725765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121628</v>
          </cell>
          <cell r="C241">
            <v>0</v>
          </cell>
          <cell r="D241">
            <v>147163.50065725765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121993</v>
          </cell>
          <cell r="C242">
            <v>0</v>
          </cell>
          <cell r="D242">
            <v>147163.50065725765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122358</v>
          </cell>
          <cell r="C243">
            <v>0</v>
          </cell>
          <cell r="D243">
            <v>147163.50065725765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122723</v>
          </cell>
          <cell r="C244">
            <v>0</v>
          </cell>
          <cell r="D244">
            <v>147163.50065725765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123089</v>
          </cell>
          <cell r="C245">
            <v>0</v>
          </cell>
          <cell r="D245">
            <v>147163.50065725765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123454</v>
          </cell>
          <cell r="C246">
            <v>0</v>
          </cell>
          <cell r="D246">
            <v>147163.50065725765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123819</v>
          </cell>
          <cell r="C247">
            <v>0</v>
          </cell>
          <cell r="D247">
            <v>147163.50065725765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124184</v>
          </cell>
          <cell r="C248">
            <v>0</v>
          </cell>
          <cell r="D248">
            <v>147163.50065725765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124550</v>
          </cell>
          <cell r="C249">
            <v>0</v>
          </cell>
          <cell r="D249">
            <v>147163.50065725765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124915</v>
          </cell>
          <cell r="C250">
            <v>0</v>
          </cell>
          <cell r="D250">
            <v>147163.50065725765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125280</v>
          </cell>
          <cell r="C251">
            <v>0</v>
          </cell>
          <cell r="D251">
            <v>147163.50065725765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125645</v>
          </cell>
          <cell r="C252">
            <v>0</v>
          </cell>
          <cell r="D252">
            <v>147163.50065725765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126011</v>
          </cell>
          <cell r="C253">
            <v>0</v>
          </cell>
          <cell r="D253">
            <v>147163.50065725765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126376</v>
          </cell>
          <cell r="C254">
            <v>0</v>
          </cell>
          <cell r="D254">
            <v>147163.50065725765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126741</v>
          </cell>
          <cell r="C255">
            <v>0</v>
          </cell>
          <cell r="D255">
            <v>147163.50065725765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127106</v>
          </cell>
          <cell r="C256">
            <v>0</v>
          </cell>
          <cell r="D256">
            <v>147163.50065725765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127472</v>
          </cell>
          <cell r="C257">
            <v>0</v>
          </cell>
          <cell r="D257">
            <v>147163.50065725765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127837</v>
          </cell>
          <cell r="C258">
            <v>0</v>
          </cell>
          <cell r="D258">
            <v>147163.50065725765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128202</v>
          </cell>
          <cell r="C259">
            <v>0</v>
          </cell>
          <cell r="D259">
            <v>147163.50065725765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128567</v>
          </cell>
          <cell r="C260">
            <v>0</v>
          </cell>
          <cell r="D260">
            <v>147163.50065725765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128933</v>
          </cell>
          <cell r="C261">
            <v>0</v>
          </cell>
          <cell r="D261">
            <v>147163.50065725765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129298</v>
          </cell>
          <cell r="C262">
            <v>0</v>
          </cell>
          <cell r="D262">
            <v>147163.50065725765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129663</v>
          </cell>
          <cell r="C263">
            <v>0</v>
          </cell>
          <cell r="D263">
            <v>147163.50065725765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130028</v>
          </cell>
          <cell r="C264">
            <v>0</v>
          </cell>
          <cell r="D264">
            <v>147163.50065725765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130394</v>
          </cell>
          <cell r="C265">
            <v>0</v>
          </cell>
          <cell r="D265">
            <v>147163.50065725765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130759</v>
          </cell>
          <cell r="C266">
            <v>0</v>
          </cell>
          <cell r="D266">
            <v>147163.50065725765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131124</v>
          </cell>
          <cell r="C267">
            <v>0</v>
          </cell>
          <cell r="D267">
            <v>147163.50065725765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131489</v>
          </cell>
          <cell r="C268">
            <v>0</v>
          </cell>
          <cell r="D268">
            <v>147163.50065725765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131855</v>
          </cell>
          <cell r="C269">
            <v>0</v>
          </cell>
          <cell r="D269">
            <v>147163.50065725765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132220</v>
          </cell>
          <cell r="C270">
            <v>0</v>
          </cell>
          <cell r="D270">
            <v>147163.50065725765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132585</v>
          </cell>
          <cell r="C271">
            <v>0</v>
          </cell>
          <cell r="D271">
            <v>147163.50065725765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132950</v>
          </cell>
          <cell r="C272">
            <v>0</v>
          </cell>
          <cell r="D272">
            <v>147163.50065725765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133316</v>
          </cell>
          <cell r="C273">
            <v>0</v>
          </cell>
          <cell r="D273">
            <v>147163.50065725765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133681</v>
          </cell>
          <cell r="C274">
            <v>0</v>
          </cell>
          <cell r="D274">
            <v>147163.50065725765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134046</v>
          </cell>
          <cell r="C275">
            <v>0</v>
          </cell>
          <cell r="D275">
            <v>147163.50065725765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134411</v>
          </cell>
          <cell r="C276">
            <v>0</v>
          </cell>
          <cell r="D276">
            <v>147163.50065725765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134777</v>
          </cell>
          <cell r="C277">
            <v>0</v>
          </cell>
          <cell r="D277">
            <v>147163.50065725765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135142</v>
          </cell>
          <cell r="C278">
            <v>0</v>
          </cell>
          <cell r="D278">
            <v>147163.50065725765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135507</v>
          </cell>
          <cell r="C279">
            <v>0</v>
          </cell>
          <cell r="D279">
            <v>147163.50065725765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135872</v>
          </cell>
          <cell r="C280">
            <v>0</v>
          </cell>
          <cell r="D280">
            <v>147163.50065725765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136238</v>
          </cell>
          <cell r="C281">
            <v>0</v>
          </cell>
          <cell r="D281">
            <v>147163.50065725765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136603</v>
          </cell>
          <cell r="C282">
            <v>0</v>
          </cell>
          <cell r="D282">
            <v>147163.50065725765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136968</v>
          </cell>
          <cell r="C283">
            <v>0</v>
          </cell>
          <cell r="D283">
            <v>147163.50065725765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137333</v>
          </cell>
          <cell r="C284">
            <v>0</v>
          </cell>
          <cell r="D284">
            <v>147163.50065725765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137699</v>
          </cell>
          <cell r="C285">
            <v>0</v>
          </cell>
          <cell r="D285">
            <v>147163.50065725765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138064</v>
          </cell>
          <cell r="C286">
            <v>0</v>
          </cell>
          <cell r="D286">
            <v>147163.50065725765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138429</v>
          </cell>
          <cell r="C287">
            <v>0</v>
          </cell>
          <cell r="D287">
            <v>147163.50065725765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138794</v>
          </cell>
          <cell r="C288">
            <v>0</v>
          </cell>
          <cell r="D288">
            <v>147163.50065725765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139160</v>
          </cell>
          <cell r="C289">
            <v>0</v>
          </cell>
          <cell r="D289">
            <v>147163.50065725765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139525</v>
          </cell>
          <cell r="C290">
            <v>0</v>
          </cell>
          <cell r="D290">
            <v>147163.50065725765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139890</v>
          </cell>
          <cell r="C291">
            <v>0</v>
          </cell>
          <cell r="D291">
            <v>147163.50065725765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140255</v>
          </cell>
          <cell r="C292">
            <v>0</v>
          </cell>
          <cell r="D292">
            <v>147163.50065725765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140621</v>
          </cell>
          <cell r="C293">
            <v>0</v>
          </cell>
          <cell r="D293">
            <v>147163.50065725765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140986</v>
          </cell>
          <cell r="C294">
            <v>0</v>
          </cell>
          <cell r="D294">
            <v>147163.50065725765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141351</v>
          </cell>
          <cell r="C295">
            <v>0</v>
          </cell>
          <cell r="D295">
            <v>147163.50065725765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141716</v>
          </cell>
          <cell r="C296">
            <v>0</v>
          </cell>
          <cell r="D296">
            <v>147163.50065725765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142082</v>
          </cell>
          <cell r="C297">
            <v>0</v>
          </cell>
          <cell r="D297">
            <v>147163.50065725765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142447</v>
          </cell>
          <cell r="C298">
            <v>0</v>
          </cell>
          <cell r="D298">
            <v>147163.50065725765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142812</v>
          </cell>
          <cell r="C299">
            <v>0</v>
          </cell>
          <cell r="D299">
            <v>147163.50065725765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143177</v>
          </cell>
          <cell r="C300">
            <v>0</v>
          </cell>
          <cell r="D300">
            <v>147163.50065725765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143543</v>
          </cell>
          <cell r="C301">
            <v>0</v>
          </cell>
          <cell r="D301">
            <v>147163.50065725765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143908</v>
          </cell>
          <cell r="C302">
            <v>0</v>
          </cell>
          <cell r="D302">
            <v>147163.50065725765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144273</v>
          </cell>
          <cell r="C303">
            <v>0</v>
          </cell>
          <cell r="D303">
            <v>147163.50065725765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144638</v>
          </cell>
          <cell r="C304">
            <v>0</v>
          </cell>
          <cell r="D304">
            <v>147163.50065725765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145004</v>
          </cell>
          <cell r="C305">
            <v>0</v>
          </cell>
          <cell r="D305">
            <v>147163.50065725765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145369</v>
          </cell>
          <cell r="C306">
            <v>0</v>
          </cell>
          <cell r="D306">
            <v>147163.50065725765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145734</v>
          </cell>
          <cell r="C307">
            <v>0</v>
          </cell>
          <cell r="D307">
            <v>147163.50065725765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146099</v>
          </cell>
          <cell r="C308">
            <v>0</v>
          </cell>
          <cell r="D308">
            <v>147163.50065725765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146464</v>
          </cell>
          <cell r="C309">
            <v>0</v>
          </cell>
          <cell r="D309">
            <v>147163.50065725765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146829</v>
          </cell>
          <cell r="C310">
            <v>0</v>
          </cell>
          <cell r="D310">
            <v>147163.50065725765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147194</v>
          </cell>
          <cell r="C311">
            <v>0</v>
          </cell>
          <cell r="D311">
            <v>147163.50065725765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147559</v>
          </cell>
          <cell r="C312">
            <v>0</v>
          </cell>
          <cell r="D312">
            <v>147163.50065725765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147925</v>
          </cell>
          <cell r="C313">
            <v>0</v>
          </cell>
          <cell r="D313">
            <v>147163.50065725765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148290</v>
          </cell>
          <cell r="C314">
            <v>0</v>
          </cell>
          <cell r="D314">
            <v>147163.50065725765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148655</v>
          </cell>
          <cell r="C315">
            <v>0</v>
          </cell>
          <cell r="D315">
            <v>147163.50065725765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149020</v>
          </cell>
          <cell r="C316">
            <v>0</v>
          </cell>
          <cell r="D316">
            <v>147163.50065725765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149386</v>
          </cell>
          <cell r="C317">
            <v>0</v>
          </cell>
          <cell r="D317">
            <v>147163.50065725765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149751</v>
          </cell>
          <cell r="C318">
            <v>0</v>
          </cell>
          <cell r="D318">
            <v>147163.50065725765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150116</v>
          </cell>
          <cell r="C319">
            <v>0</v>
          </cell>
          <cell r="D319">
            <v>147163.50065725765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150481</v>
          </cell>
          <cell r="C320">
            <v>0</v>
          </cell>
          <cell r="D320">
            <v>147163.50065725765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150847</v>
          </cell>
          <cell r="C321">
            <v>0</v>
          </cell>
          <cell r="D321">
            <v>147163.50065725765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151212</v>
          </cell>
          <cell r="C322">
            <v>0</v>
          </cell>
          <cell r="D322">
            <v>147163.50065725765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151577</v>
          </cell>
          <cell r="C323">
            <v>0</v>
          </cell>
          <cell r="D323">
            <v>147163.50065725765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151942</v>
          </cell>
          <cell r="C324">
            <v>0</v>
          </cell>
          <cell r="D324">
            <v>147163.50065725765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152308</v>
          </cell>
          <cell r="C325">
            <v>0</v>
          </cell>
          <cell r="D325">
            <v>147163.50065725765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152673</v>
          </cell>
          <cell r="C326">
            <v>0</v>
          </cell>
          <cell r="D326">
            <v>147163.50065725765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153038</v>
          </cell>
          <cell r="C327">
            <v>0</v>
          </cell>
          <cell r="D327">
            <v>147163.50065725765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153403</v>
          </cell>
          <cell r="C328">
            <v>0</v>
          </cell>
          <cell r="D328">
            <v>147163.50065725765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153769</v>
          </cell>
          <cell r="C329">
            <v>0</v>
          </cell>
          <cell r="D329">
            <v>147163.50065725765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154134</v>
          </cell>
          <cell r="C330">
            <v>0</v>
          </cell>
          <cell r="D330">
            <v>147163.50065725765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154499</v>
          </cell>
          <cell r="C331">
            <v>0</v>
          </cell>
          <cell r="D331">
            <v>147163.50065725765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154864</v>
          </cell>
          <cell r="C332">
            <v>0</v>
          </cell>
          <cell r="D332">
            <v>147163.50065725765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155230</v>
          </cell>
          <cell r="C333">
            <v>0</v>
          </cell>
          <cell r="D333">
            <v>147163.50065725765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155595</v>
          </cell>
          <cell r="C334">
            <v>0</v>
          </cell>
          <cell r="D334">
            <v>147163.50065725765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155960</v>
          </cell>
          <cell r="C335">
            <v>0</v>
          </cell>
          <cell r="D335">
            <v>147163.50065725765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156325</v>
          </cell>
          <cell r="C336">
            <v>0</v>
          </cell>
          <cell r="D336">
            <v>147163.50065725765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156691</v>
          </cell>
          <cell r="C337">
            <v>0</v>
          </cell>
          <cell r="D337">
            <v>147163.50065725765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157056</v>
          </cell>
          <cell r="C338">
            <v>0</v>
          </cell>
          <cell r="D338">
            <v>147163.50065725765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157421</v>
          </cell>
          <cell r="C339">
            <v>0</v>
          </cell>
          <cell r="D339">
            <v>147163.50065725765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157786</v>
          </cell>
          <cell r="C340">
            <v>0</v>
          </cell>
          <cell r="D340">
            <v>147163.50065725765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158152</v>
          </cell>
          <cell r="C341">
            <v>0</v>
          </cell>
          <cell r="D341">
            <v>147163.50065725765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158517</v>
          </cell>
          <cell r="C342">
            <v>0</v>
          </cell>
          <cell r="D342">
            <v>147163.50065725765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158882</v>
          </cell>
          <cell r="C343">
            <v>0</v>
          </cell>
          <cell r="D343">
            <v>147163.50065725765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159247</v>
          </cell>
          <cell r="C344">
            <v>0</v>
          </cell>
          <cell r="D344">
            <v>147163.50065725765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159613</v>
          </cell>
          <cell r="C345">
            <v>0</v>
          </cell>
          <cell r="D345">
            <v>147163.50065725765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159978</v>
          </cell>
          <cell r="C346">
            <v>0</v>
          </cell>
          <cell r="D346">
            <v>147163.50065725765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160343</v>
          </cell>
          <cell r="C347">
            <v>0</v>
          </cell>
          <cell r="D347">
            <v>147163.50065725765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160708</v>
          </cell>
          <cell r="C348">
            <v>0</v>
          </cell>
          <cell r="D348">
            <v>147163.50065725765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161074</v>
          </cell>
          <cell r="C349">
            <v>0</v>
          </cell>
          <cell r="D349">
            <v>147163.50065725765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161439</v>
          </cell>
          <cell r="C350">
            <v>0</v>
          </cell>
          <cell r="D350">
            <v>147163.50065725765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161804</v>
          </cell>
          <cell r="C351">
            <v>0</v>
          </cell>
          <cell r="D351">
            <v>147163.50065725765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162169</v>
          </cell>
          <cell r="C352">
            <v>0</v>
          </cell>
          <cell r="D352">
            <v>147163.50065725765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162535</v>
          </cell>
          <cell r="C353">
            <v>0</v>
          </cell>
          <cell r="D353">
            <v>147163.50065725765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162900</v>
          </cell>
          <cell r="C354">
            <v>0</v>
          </cell>
          <cell r="D354">
            <v>147163.50065725765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163265</v>
          </cell>
          <cell r="C355">
            <v>0</v>
          </cell>
          <cell r="D355">
            <v>147163.50065725765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163630</v>
          </cell>
          <cell r="C356">
            <v>0</v>
          </cell>
          <cell r="D356">
            <v>147163.50065725765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163996</v>
          </cell>
          <cell r="C357">
            <v>0</v>
          </cell>
          <cell r="D357">
            <v>147163.50065725765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164361</v>
          </cell>
          <cell r="C358">
            <v>0</v>
          </cell>
          <cell r="D358">
            <v>147163.50065725765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164726</v>
          </cell>
          <cell r="C359">
            <v>0</v>
          </cell>
          <cell r="D359">
            <v>147163.50065725765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165091</v>
          </cell>
          <cell r="C360">
            <v>0</v>
          </cell>
          <cell r="D360">
            <v>147163.50065725765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165457</v>
          </cell>
          <cell r="C361">
            <v>0</v>
          </cell>
          <cell r="D361">
            <v>147163.50065725765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165822</v>
          </cell>
          <cell r="C362">
            <v>0</v>
          </cell>
          <cell r="D362">
            <v>147163.50065725765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166187</v>
          </cell>
          <cell r="C363">
            <v>0</v>
          </cell>
          <cell r="D363">
            <v>147163.50065725765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166552</v>
          </cell>
          <cell r="C364">
            <v>0</v>
          </cell>
          <cell r="D364">
            <v>147163.50065725765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166918</v>
          </cell>
          <cell r="C365">
            <v>0</v>
          </cell>
          <cell r="D365">
            <v>147163.50065725765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167283</v>
          </cell>
          <cell r="C366">
            <v>0</v>
          </cell>
          <cell r="D366">
            <v>147163.50065725765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167648</v>
          </cell>
          <cell r="C367">
            <v>0</v>
          </cell>
          <cell r="D367">
            <v>147163.50065725765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168013</v>
          </cell>
          <cell r="C368">
            <v>0</v>
          </cell>
          <cell r="D368">
            <v>147163.50065725765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168379</v>
          </cell>
          <cell r="C369">
            <v>0</v>
          </cell>
          <cell r="D369">
            <v>147163.50065725765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168744</v>
          </cell>
          <cell r="C370">
            <v>0</v>
          </cell>
          <cell r="D370">
            <v>147163.50065725765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169109</v>
          </cell>
          <cell r="C371">
            <v>0</v>
          </cell>
          <cell r="D371">
            <v>147163.50065725765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169474</v>
          </cell>
          <cell r="C372">
            <v>0</v>
          </cell>
          <cell r="D372">
            <v>147163.50065725765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169840</v>
          </cell>
          <cell r="C373">
            <v>0</v>
          </cell>
          <cell r="D373">
            <v>147163.50065725765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170205</v>
          </cell>
          <cell r="C374">
            <v>0</v>
          </cell>
          <cell r="D374">
            <v>147163.50065725765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170570</v>
          </cell>
          <cell r="C375">
            <v>0</v>
          </cell>
          <cell r="D375">
            <v>147163.50065725765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170935</v>
          </cell>
          <cell r="C376">
            <v>0</v>
          </cell>
          <cell r="D376">
            <v>147163.50065725765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171301</v>
          </cell>
          <cell r="C377">
            <v>0</v>
          </cell>
          <cell r="D377">
            <v>147163.50065725765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topLeftCell="A79" zoomScaleNormal="100" workbookViewId="0">
      <selection activeCell="J80" sqref="J80"/>
    </sheetView>
  </sheetViews>
  <sheetFormatPr defaultRowHeight="15"/>
  <cols>
    <col min="1" max="5" width="3" style="64" customWidth="1"/>
    <col min="6" max="6" width="32.140625" style="64" customWidth="1"/>
    <col min="7" max="7" width="12.5703125" style="102" customWidth="1"/>
    <col min="8" max="8" width="13.42578125" style="62" customWidth="1"/>
    <col min="9" max="9" width="13.85546875" style="62" customWidth="1"/>
  </cols>
  <sheetData>
    <row r="1" spans="1:9" s="60" customFormat="1" ht="45.75">
      <c r="A1" s="59"/>
      <c r="B1" s="59"/>
      <c r="C1" s="59"/>
      <c r="D1" s="59"/>
      <c r="E1" s="59"/>
      <c r="F1" s="59"/>
      <c r="G1" s="101" t="s">
        <v>164</v>
      </c>
      <c r="H1" s="86" t="s">
        <v>168</v>
      </c>
      <c r="I1" s="86" t="s">
        <v>172</v>
      </c>
    </row>
    <row r="2" spans="1:9" s="63" customFormat="1">
      <c r="A2" s="61"/>
      <c r="B2" s="61" t="s">
        <v>0</v>
      </c>
      <c r="C2" s="61"/>
      <c r="D2" s="61"/>
      <c r="E2" s="61"/>
      <c r="F2" s="61"/>
      <c r="G2" s="102"/>
      <c r="H2" s="62"/>
      <c r="I2" s="62"/>
    </row>
    <row r="3" spans="1:9" s="63" customFormat="1">
      <c r="A3" s="61"/>
      <c r="B3" s="61"/>
      <c r="C3" s="61" t="s">
        <v>1</v>
      </c>
      <c r="D3" s="61"/>
      <c r="E3" s="61"/>
      <c r="F3" s="61"/>
      <c r="G3" s="102"/>
      <c r="H3" s="62"/>
      <c r="I3" s="62"/>
    </row>
    <row r="4" spans="1:9" s="63" customFormat="1">
      <c r="A4" s="61"/>
      <c r="B4" s="61"/>
      <c r="C4" s="61"/>
      <c r="D4" s="1" t="s">
        <v>134</v>
      </c>
      <c r="E4" s="61"/>
      <c r="F4" s="61"/>
      <c r="G4" s="103">
        <v>0</v>
      </c>
      <c r="H4" s="87">
        <f>'2015 projection'!I4</f>
        <v>0</v>
      </c>
      <c r="I4" s="87">
        <v>0</v>
      </c>
    </row>
    <row r="5" spans="1:9" s="63" customFormat="1">
      <c r="A5" s="61"/>
      <c r="B5" s="61"/>
      <c r="C5" s="61"/>
      <c r="D5" s="61" t="s">
        <v>2</v>
      </c>
      <c r="E5" s="61"/>
      <c r="F5" s="61"/>
      <c r="G5" s="103">
        <v>230</v>
      </c>
      <c r="H5" s="87">
        <f>'2015 projection'!I5</f>
        <v>0</v>
      </c>
      <c r="I5" s="87">
        <v>200</v>
      </c>
    </row>
    <row r="6" spans="1:9" s="63" customFormat="1">
      <c r="A6" s="61"/>
      <c r="B6" s="61"/>
      <c r="C6" s="61"/>
      <c r="D6" s="61" t="s">
        <v>3</v>
      </c>
      <c r="E6" s="61"/>
      <c r="F6" s="61"/>
      <c r="G6" s="103"/>
      <c r="H6" s="87"/>
      <c r="I6" s="87"/>
    </row>
    <row r="7" spans="1:9" s="63" customFormat="1">
      <c r="A7" s="61"/>
      <c r="B7" s="61"/>
      <c r="C7" s="61"/>
      <c r="D7" s="61"/>
      <c r="E7" s="61" t="s">
        <v>4</v>
      </c>
      <c r="F7" s="61"/>
      <c r="G7" s="103"/>
      <c r="H7" s="87"/>
      <c r="I7" s="87"/>
    </row>
    <row r="8" spans="1:9">
      <c r="A8" s="61"/>
      <c r="B8" s="61"/>
      <c r="C8" s="61"/>
      <c r="D8" s="61"/>
      <c r="E8" s="61"/>
      <c r="F8" s="61" t="s">
        <v>5</v>
      </c>
      <c r="G8" s="103">
        <v>161067</v>
      </c>
      <c r="H8" s="87">
        <f>'2015 projection'!I8</f>
        <v>168962</v>
      </c>
      <c r="I8" s="87">
        <v>177398.55000000002</v>
      </c>
    </row>
    <row r="9" spans="1:9">
      <c r="A9" s="61"/>
      <c r="B9" s="61"/>
      <c r="C9" s="61"/>
      <c r="D9" s="61"/>
      <c r="E9" s="61"/>
      <c r="F9" s="61" t="s">
        <v>6</v>
      </c>
      <c r="G9" s="103">
        <v>112132</v>
      </c>
      <c r="H9" s="87">
        <f>'2015 projection'!I9</f>
        <v>127664</v>
      </c>
      <c r="I9" s="87">
        <v>132463.80000000002</v>
      </c>
    </row>
    <row r="10" spans="1:9">
      <c r="A10" s="61"/>
      <c r="B10" s="61"/>
      <c r="C10" s="61"/>
      <c r="D10" s="61"/>
      <c r="E10" s="61"/>
      <c r="F10" s="61" t="s">
        <v>7</v>
      </c>
      <c r="G10" s="103">
        <v>11122</v>
      </c>
      <c r="H10" s="87">
        <f>'2015 projection'!I10</f>
        <v>16189</v>
      </c>
      <c r="I10" s="87">
        <v>13000</v>
      </c>
    </row>
    <row r="11" spans="1:9">
      <c r="A11" s="61"/>
      <c r="B11" s="61"/>
      <c r="C11" s="61"/>
      <c r="D11" s="61"/>
      <c r="E11" s="61" t="s">
        <v>8</v>
      </c>
      <c r="F11" s="61"/>
      <c r="G11" s="103">
        <f>SUM(G8:G10)</f>
        <v>284321</v>
      </c>
      <c r="H11" s="87">
        <f>'2015 projection'!I11</f>
        <v>312815</v>
      </c>
      <c r="I11" s="88">
        <v>322862.35000000003</v>
      </c>
    </row>
    <row r="12" spans="1:9" ht="30" customHeight="1">
      <c r="A12" s="61"/>
      <c r="B12" s="61"/>
      <c r="C12" s="61"/>
      <c r="D12" s="61"/>
      <c r="E12" s="61" t="s">
        <v>9</v>
      </c>
      <c r="F12" s="61"/>
      <c r="G12" s="103"/>
      <c r="H12" s="87"/>
      <c r="I12" s="87"/>
    </row>
    <row r="13" spans="1:9">
      <c r="A13" s="61"/>
      <c r="B13" s="61"/>
      <c r="C13" s="61"/>
      <c r="D13" s="61"/>
      <c r="E13" s="61"/>
      <c r="F13" s="61" t="s">
        <v>10</v>
      </c>
      <c r="G13" s="103">
        <v>53399</v>
      </c>
      <c r="H13" s="87">
        <f>'2015 projection'!I13</f>
        <v>56069</v>
      </c>
      <c r="I13" s="87">
        <v>58871.4</v>
      </c>
    </row>
    <row r="14" spans="1:9">
      <c r="A14" s="61"/>
      <c r="B14" s="61"/>
      <c r="C14" s="61"/>
      <c r="D14" s="61"/>
      <c r="E14" s="61"/>
      <c r="F14" s="61" t="s">
        <v>11</v>
      </c>
      <c r="G14" s="103">
        <v>45825</v>
      </c>
      <c r="H14" s="87">
        <f>'2015 projection'!I14</f>
        <v>50845</v>
      </c>
      <c r="I14" s="87">
        <v>53613</v>
      </c>
    </row>
    <row r="15" spans="1:9">
      <c r="A15" s="61"/>
      <c r="B15" s="61"/>
      <c r="C15" s="61"/>
      <c r="D15" s="61"/>
      <c r="E15" s="61"/>
      <c r="F15" s="61" t="s">
        <v>12</v>
      </c>
      <c r="G15" s="103">
        <v>0</v>
      </c>
      <c r="H15" s="87">
        <f>'2015 projection'!I15</f>
        <v>0</v>
      </c>
      <c r="I15" s="87">
        <v>0</v>
      </c>
    </row>
    <row r="16" spans="1:9">
      <c r="A16" s="61"/>
      <c r="B16" s="61"/>
      <c r="C16" s="61"/>
      <c r="D16" s="61"/>
      <c r="E16" s="61" t="s">
        <v>13</v>
      </c>
      <c r="F16" s="61"/>
      <c r="G16" s="103">
        <f>SUM(G13:G15)</f>
        <v>99224</v>
      </c>
      <c r="H16" s="87">
        <f>'2015 projection'!I16</f>
        <v>106914</v>
      </c>
      <c r="I16" s="88">
        <v>112484.4</v>
      </c>
    </row>
    <row r="17" spans="1:9" ht="30" customHeight="1">
      <c r="A17" s="61"/>
      <c r="B17" s="61"/>
      <c r="C17" s="61"/>
      <c r="D17" s="61" t="s">
        <v>14</v>
      </c>
      <c r="E17" s="61"/>
      <c r="F17" s="61"/>
      <c r="G17" s="103">
        <f>G11+G16</f>
        <v>383545</v>
      </c>
      <c r="H17" s="87">
        <f>'2015 projection'!I17</f>
        <v>419729</v>
      </c>
      <c r="I17" s="88">
        <v>435346.75</v>
      </c>
    </row>
    <row r="18" spans="1:9" ht="30" customHeight="1">
      <c r="A18" s="61"/>
      <c r="B18" s="61"/>
      <c r="C18" s="61"/>
      <c r="D18" s="61" t="s">
        <v>15</v>
      </c>
      <c r="E18" s="61"/>
      <c r="F18" s="61"/>
      <c r="G18" s="103">
        <v>7395</v>
      </c>
      <c r="H18" s="87">
        <f>'2015 projection'!I18</f>
        <v>7546</v>
      </c>
      <c r="I18" s="87">
        <v>5000</v>
      </c>
    </row>
    <row r="19" spans="1:9">
      <c r="A19" s="61"/>
      <c r="B19" s="61"/>
      <c r="C19" s="61"/>
      <c r="D19" s="61" t="s">
        <v>16</v>
      </c>
      <c r="E19" s="61"/>
      <c r="F19" s="61"/>
      <c r="G19" s="103">
        <v>91</v>
      </c>
      <c r="H19" s="87">
        <f>'2015 projection'!I19</f>
        <v>87.24</v>
      </c>
      <c r="I19" s="87">
        <v>94.5</v>
      </c>
    </row>
    <row r="20" spans="1:9">
      <c r="A20" s="61"/>
      <c r="B20" s="61"/>
      <c r="C20" s="61"/>
      <c r="D20" s="61" t="s">
        <v>17</v>
      </c>
      <c r="E20" s="61"/>
      <c r="F20" s="61"/>
      <c r="G20" s="103">
        <v>3414</v>
      </c>
      <c r="H20" s="87">
        <f>'2015 projection'!I20</f>
        <v>4103</v>
      </c>
      <c r="I20" s="87">
        <v>4000</v>
      </c>
    </row>
    <row r="21" spans="1:9" s="90" customFormat="1">
      <c r="A21" s="61"/>
      <c r="B21" s="61"/>
      <c r="C21" s="61"/>
      <c r="D21" s="91" t="s">
        <v>146</v>
      </c>
      <c r="E21" s="61"/>
      <c r="F21" s="61"/>
      <c r="G21" s="103">
        <v>50</v>
      </c>
      <c r="H21" s="87">
        <f>'2015 projection'!I21</f>
        <v>0</v>
      </c>
      <c r="I21" s="87"/>
    </row>
    <row r="22" spans="1:9">
      <c r="A22" s="61"/>
      <c r="B22" s="61"/>
      <c r="C22" s="61"/>
      <c r="D22" s="61" t="s">
        <v>18</v>
      </c>
      <c r="E22" s="61"/>
      <c r="F22" s="61"/>
      <c r="G22" s="103">
        <v>5600</v>
      </c>
      <c r="H22" s="87">
        <f>'2015 projection'!I22</f>
        <v>2700</v>
      </c>
      <c r="I22" s="87">
        <v>4500</v>
      </c>
    </row>
    <row r="23" spans="1:9" s="69" customFormat="1">
      <c r="A23" s="61"/>
      <c r="B23" s="61"/>
      <c r="C23" s="61"/>
      <c r="D23" s="70" t="s">
        <v>144</v>
      </c>
      <c r="E23" s="61"/>
      <c r="F23" s="61"/>
      <c r="G23" s="103"/>
      <c r="H23" s="87">
        <f>'2015 projection'!I23</f>
        <v>77000</v>
      </c>
      <c r="I23" s="87">
        <v>75000</v>
      </c>
    </row>
    <row r="24" spans="1:9" s="90" customFormat="1">
      <c r="A24" s="61"/>
      <c r="B24" s="61"/>
      <c r="C24" s="61"/>
      <c r="D24" s="91"/>
      <c r="E24" s="61"/>
      <c r="F24" s="61"/>
      <c r="G24" s="103"/>
      <c r="I24" s="87"/>
    </row>
    <row r="25" spans="1:9">
      <c r="A25" s="61"/>
      <c r="B25" s="61"/>
      <c r="C25" s="61" t="s">
        <v>19</v>
      </c>
      <c r="D25" s="61"/>
      <c r="E25" s="61"/>
      <c r="F25" s="61"/>
      <c r="G25" s="103">
        <f>SUM(G17:G23)+G4+G5</f>
        <v>400325</v>
      </c>
      <c r="H25" s="87">
        <f>'2015 projection'!I24</f>
        <v>511165.24</v>
      </c>
      <c r="I25" s="88">
        <v>524141.25</v>
      </c>
    </row>
    <row r="26" spans="1:9" ht="30" customHeight="1">
      <c r="A26" s="61"/>
      <c r="B26" s="61"/>
      <c r="C26" s="61" t="s">
        <v>20</v>
      </c>
      <c r="D26" s="61"/>
      <c r="E26" s="61"/>
      <c r="F26" s="61"/>
      <c r="G26" s="103"/>
      <c r="H26" s="87"/>
      <c r="I26" s="87"/>
    </row>
    <row r="27" spans="1:9">
      <c r="A27" s="61"/>
      <c r="B27" s="61"/>
      <c r="C27" s="61"/>
      <c r="D27" s="61" t="s">
        <v>21</v>
      </c>
      <c r="E27" s="61"/>
      <c r="F27" s="61"/>
      <c r="G27" s="103"/>
      <c r="H27" s="87"/>
      <c r="I27" s="87"/>
    </row>
    <row r="28" spans="1:9">
      <c r="A28" s="61"/>
      <c r="B28" s="61"/>
      <c r="C28" s="61"/>
      <c r="D28" s="61"/>
      <c r="E28" s="61" t="s">
        <v>22</v>
      </c>
      <c r="F28" s="61"/>
      <c r="G28" s="103">
        <v>77286</v>
      </c>
      <c r="H28" s="87">
        <f>'2015 projection'!I27</f>
        <v>78900</v>
      </c>
      <c r="I28" s="87">
        <v>85788</v>
      </c>
    </row>
    <row r="29" spans="1:9">
      <c r="A29" s="61"/>
      <c r="B29" s="61"/>
      <c r="C29" s="61"/>
      <c r="D29" s="61"/>
      <c r="E29" s="61" t="s">
        <v>23</v>
      </c>
      <c r="F29" s="61"/>
      <c r="G29" s="103">
        <v>79701</v>
      </c>
      <c r="H29" s="87">
        <f>'2015 projection'!I28</f>
        <v>90202</v>
      </c>
      <c r="I29" s="87">
        <v>97440</v>
      </c>
    </row>
    <row r="30" spans="1:9">
      <c r="A30" s="61"/>
      <c r="B30" s="61"/>
      <c r="C30" s="61"/>
      <c r="D30" s="61"/>
      <c r="E30" s="61" t="s">
        <v>24</v>
      </c>
      <c r="F30" s="61"/>
      <c r="G30" s="103">
        <v>12480</v>
      </c>
      <c r="H30" s="87">
        <f>'2015 projection'!I29</f>
        <v>13442</v>
      </c>
      <c r="I30" s="87">
        <v>14681.106</v>
      </c>
    </row>
    <row r="31" spans="1:9">
      <c r="A31" s="61"/>
      <c r="B31" s="61"/>
      <c r="C31" s="61"/>
      <c r="D31" s="61"/>
      <c r="E31" s="61" t="s">
        <v>25</v>
      </c>
      <c r="F31" s="61"/>
      <c r="G31" s="103">
        <v>19344</v>
      </c>
      <c r="H31" s="87">
        <f>'2015 projection'!I30</f>
        <v>20670</v>
      </c>
      <c r="I31" s="87">
        <v>20544</v>
      </c>
    </row>
    <row r="32" spans="1:9">
      <c r="A32" s="61"/>
      <c r="B32" s="61"/>
      <c r="C32" s="61"/>
      <c r="D32" s="61"/>
      <c r="E32" s="61" t="s">
        <v>26</v>
      </c>
      <c r="F32" s="61"/>
      <c r="G32" s="103">
        <v>0</v>
      </c>
      <c r="H32" s="87">
        <f>'2015 projection'!I31</f>
        <v>0</v>
      </c>
      <c r="I32" s="87">
        <v>4000</v>
      </c>
    </row>
    <row r="33" spans="1:9">
      <c r="A33" s="61"/>
      <c r="B33" s="61"/>
      <c r="C33" s="61"/>
      <c r="D33" s="61"/>
      <c r="E33" s="61" t="s">
        <v>27</v>
      </c>
      <c r="F33" s="61"/>
      <c r="G33" s="103">
        <v>16037</v>
      </c>
      <c r="H33" s="87">
        <f>'2015 projection'!I32</f>
        <v>15836</v>
      </c>
      <c r="I33" s="87">
        <v>17069.325000000001</v>
      </c>
    </row>
    <row r="34" spans="1:9">
      <c r="A34" s="61"/>
      <c r="B34" s="61"/>
      <c r="C34" s="61"/>
      <c r="D34" s="61"/>
      <c r="E34" s="61" t="s">
        <v>28</v>
      </c>
      <c r="F34" s="61"/>
      <c r="G34" s="103">
        <v>6827</v>
      </c>
      <c r="H34" s="87">
        <f>'2015 projection'!I33</f>
        <v>2897</v>
      </c>
      <c r="I34" s="87">
        <v>8000</v>
      </c>
    </row>
    <row r="35" spans="1:9" ht="16.5" customHeight="1">
      <c r="A35" s="61"/>
      <c r="B35" s="61"/>
      <c r="C35" s="61"/>
      <c r="D35" s="61"/>
      <c r="E35" s="61" t="s">
        <v>29</v>
      </c>
      <c r="F35" s="61"/>
      <c r="G35" s="103">
        <v>33924</v>
      </c>
      <c r="H35" s="87">
        <f>'2015 projection'!I34</f>
        <v>34664</v>
      </c>
      <c r="I35" s="87">
        <v>35747.18</v>
      </c>
    </row>
    <row r="36" spans="1:9">
      <c r="A36" s="61"/>
      <c r="B36" s="61"/>
      <c r="C36" s="61"/>
      <c r="D36" s="61"/>
      <c r="E36" s="61" t="s">
        <v>30</v>
      </c>
      <c r="F36" s="61"/>
      <c r="G36" s="103">
        <v>1181</v>
      </c>
      <c r="H36" s="87">
        <f>'2015 projection'!I35</f>
        <v>1278</v>
      </c>
      <c r="I36" s="87">
        <v>520</v>
      </c>
    </row>
    <row r="37" spans="1:9">
      <c r="A37" s="61"/>
      <c r="B37" s="61"/>
      <c r="C37" s="61"/>
      <c r="D37" s="61"/>
      <c r="E37" s="61" t="s">
        <v>31</v>
      </c>
      <c r="F37" s="61"/>
      <c r="G37" s="103">
        <v>1500</v>
      </c>
      <c r="H37" s="87">
        <f>'2015 projection'!I36</f>
        <v>1575</v>
      </c>
      <c r="I37" s="87">
        <v>1500</v>
      </c>
    </row>
    <row r="38" spans="1:9">
      <c r="A38" s="61"/>
      <c r="B38" s="61"/>
      <c r="C38" s="61"/>
      <c r="D38" s="61"/>
      <c r="E38" s="61" t="s">
        <v>32</v>
      </c>
      <c r="F38" s="61"/>
      <c r="G38" s="103">
        <v>419</v>
      </c>
      <c r="H38" s="87">
        <f>'2015 projection'!I37</f>
        <v>628</v>
      </c>
      <c r="I38" s="87">
        <v>420</v>
      </c>
    </row>
    <row r="39" spans="1:9">
      <c r="A39" s="61"/>
      <c r="B39" s="61"/>
      <c r="C39" s="61"/>
      <c r="D39" s="61"/>
      <c r="E39" s="61" t="s">
        <v>33</v>
      </c>
      <c r="F39" s="61"/>
      <c r="G39" s="103">
        <v>903</v>
      </c>
      <c r="H39" s="87">
        <f>'2015 projection'!I38</f>
        <v>1091</v>
      </c>
      <c r="I39" s="87">
        <v>925</v>
      </c>
    </row>
    <row r="40" spans="1:9">
      <c r="A40" s="61"/>
      <c r="B40" s="61"/>
      <c r="C40" s="61"/>
      <c r="D40" s="61"/>
      <c r="E40" s="61" t="s">
        <v>34</v>
      </c>
      <c r="F40" s="61"/>
      <c r="G40" s="103">
        <v>195</v>
      </c>
      <c r="H40" s="87">
        <f>'2015 projection'!I39</f>
        <v>185</v>
      </c>
      <c r="I40" s="87">
        <v>1000</v>
      </c>
    </row>
    <row r="41" spans="1:9">
      <c r="A41" s="61"/>
      <c r="B41" s="61"/>
      <c r="C41" s="61"/>
      <c r="D41" s="61"/>
      <c r="E41" s="61" t="s">
        <v>35</v>
      </c>
      <c r="F41" s="61"/>
      <c r="G41" s="103">
        <v>15493</v>
      </c>
      <c r="H41" s="87">
        <f>'2015 projection'!I40</f>
        <v>16012</v>
      </c>
      <c r="I41" s="87">
        <v>16652.48</v>
      </c>
    </row>
    <row r="42" spans="1:9">
      <c r="A42" s="61"/>
      <c r="B42" s="61"/>
      <c r="C42" s="61"/>
      <c r="D42" s="61"/>
      <c r="E42" s="61" t="s">
        <v>36</v>
      </c>
      <c r="F42" s="61"/>
      <c r="G42" s="103">
        <v>4642</v>
      </c>
      <c r="H42" s="87">
        <f>'2015 projection'!I41</f>
        <v>4252</v>
      </c>
      <c r="I42" s="87">
        <v>4622.2586808141232</v>
      </c>
    </row>
    <row r="43" spans="1:9">
      <c r="A43" s="61"/>
      <c r="B43" s="61"/>
      <c r="C43" s="61"/>
      <c r="D43" s="61"/>
      <c r="E43" s="61" t="s">
        <v>37</v>
      </c>
      <c r="F43" s="61"/>
      <c r="G43" s="103">
        <v>765</v>
      </c>
      <c r="H43" s="87">
        <f>'2015 projection'!I42</f>
        <v>865</v>
      </c>
      <c r="I43" s="87">
        <v>1065</v>
      </c>
    </row>
    <row r="44" spans="1:9">
      <c r="A44" s="61"/>
      <c r="B44" s="61"/>
      <c r="C44" s="61"/>
      <c r="D44" s="61"/>
      <c r="E44" s="61" t="s">
        <v>38</v>
      </c>
      <c r="F44" s="61"/>
      <c r="G44" s="103">
        <v>4272</v>
      </c>
      <c r="H44" s="87">
        <f>'2015 projection'!I43</f>
        <v>5530</v>
      </c>
      <c r="I44" s="87">
        <v>5000</v>
      </c>
    </row>
    <row r="45" spans="1:9">
      <c r="A45" s="61"/>
      <c r="B45" s="61"/>
      <c r="C45" s="61"/>
      <c r="D45" s="61"/>
      <c r="E45" s="61" t="s">
        <v>39</v>
      </c>
      <c r="F45" s="61"/>
      <c r="G45" s="103"/>
      <c r="H45" s="87"/>
      <c r="I45" s="87"/>
    </row>
    <row r="46" spans="1:9">
      <c r="A46" s="61"/>
      <c r="B46" s="61"/>
      <c r="C46" s="61"/>
      <c r="D46" s="61"/>
      <c r="E46" s="61"/>
      <c r="F46" s="61" t="s">
        <v>40</v>
      </c>
      <c r="G46" s="103">
        <v>425</v>
      </c>
      <c r="H46" s="87">
        <f>'2015 projection'!I45</f>
        <v>395</v>
      </c>
      <c r="I46" s="87">
        <v>425</v>
      </c>
    </row>
    <row r="47" spans="1:9">
      <c r="A47" s="61"/>
      <c r="B47" s="61"/>
      <c r="C47" s="61"/>
      <c r="D47" s="61"/>
      <c r="E47" s="61"/>
      <c r="F47" s="61" t="s">
        <v>41</v>
      </c>
      <c r="G47" s="103">
        <v>336</v>
      </c>
      <c r="H47" s="87">
        <f>'2015 projection'!I46</f>
        <v>583</v>
      </c>
      <c r="I47" s="87">
        <v>600.49</v>
      </c>
    </row>
    <row r="48" spans="1:9">
      <c r="A48" s="61"/>
      <c r="B48" s="61"/>
      <c r="C48" s="61"/>
      <c r="D48" s="61"/>
      <c r="E48" s="61"/>
      <c r="F48" s="61" t="s">
        <v>42</v>
      </c>
      <c r="G48" s="103">
        <v>4045</v>
      </c>
      <c r="H48" s="87">
        <f>'2015 projection'!I47</f>
        <v>3599</v>
      </c>
      <c r="I48" s="87">
        <v>3784.2000000000003</v>
      </c>
    </row>
    <row r="49" spans="1:12">
      <c r="A49" s="61"/>
      <c r="B49" s="61"/>
      <c r="C49" s="61"/>
      <c r="D49" s="61"/>
      <c r="E49" s="61"/>
      <c r="F49" s="61" t="s">
        <v>43</v>
      </c>
      <c r="G49" s="103">
        <v>31162</v>
      </c>
      <c r="H49" s="87">
        <f>'2015 projection'!I48</f>
        <v>32761</v>
      </c>
      <c r="I49" s="87">
        <v>34013.69</v>
      </c>
    </row>
    <row r="50" spans="1:12">
      <c r="A50" s="61"/>
      <c r="B50" s="61"/>
      <c r="C50" s="61"/>
      <c r="D50" s="61"/>
      <c r="E50" s="61"/>
      <c r="F50" s="61" t="s">
        <v>44</v>
      </c>
      <c r="G50" s="103">
        <v>201</v>
      </c>
      <c r="H50" s="87">
        <f>'2015 projection'!I49</f>
        <v>552</v>
      </c>
      <c r="I50" s="87">
        <v>674.65</v>
      </c>
    </row>
    <row r="51" spans="1:12">
      <c r="A51" s="61"/>
      <c r="B51" s="61"/>
      <c r="C51" s="61"/>
      <c r="D51" s="61"/>
      <c r="E51" s="61" t="s">
        <v>45</v>
      </c>
      <c r="F51" s="61"/>
      <c r="G51" s="103">
        <f>SUM(G46:G50)</f>
        <v>36169</v>
      </c>
      <c r="H51" s="87">
        <f>'2015 projection'!I50</f>
        <v>37890</v>
      </c>
      <c r="I51" s="88">
        <v>39498.030000000006</v>
      </c>
    </row>
    <row r="52" spans="1:12" ht="30" customHeight="1">
      <c r="A52" s="61"/>
      <c r="B52" s="61"/>
      <c r="C52" s="61"/>
      <c r="D52" s="61"/>
      <c r="E52" s="61" t="s">
        <v>46</v>
      </c>
      <c r="F52" s="61"/>
      <c r="G52" s="103">
        <v>4800</v>
      </c>
      <c r="H52" s="87">
        <f>'2015 projection'!I51</f>
        <v>5068</v>
      </c>
      <c r="I52" s="87">
        <v>5000</v>
      </c>
    </row>
    <row r="53" spans="1:12">
      <c r="A53" s="61"/>
      <c r="B53" s="61"/>
      <c r="C53" s="61"/>
      <c r="D53" s="61"/>
      <c r="E53" s="61" t="s">
        <v>47</v>
      </c>
      <c r="F53" s="61"/>
      <c r="G53" s="103">
        <v>11265</v>
      </c>
      <c r="H53" s="87">
        <f>'2015 projection'!I52</f>
        <v>25854</v>
      </c>
      <c r="I53" s="87">
        <v>22000</v>
      </c>
    </row>
    <row r="54" spans="1:12">
      <c r="A54" s="61"/>
      <c r="B54" s="61"/>
      <c r="C54" s="61"/>
      <c r="D54" s="61"/>
      <c r="E54" s="61" t="s">
        <v>48</v>
      </c>
      <c r="F54" s="61"/>
      <c r="G54" s="103">
        <v>0</v>
      </c>
      <c r="H54" s="87">
        <f>'2015 projection'!I53</f>
        <v>807.5</v>
      </c>
      <c r="I54" s="87">
        <v>5000</v>
      </c>
    </row>
    <row r="55" spans="1:12">
      <c r="A55" s="61"/>
      <c r="B55" s="61"/>
      <c r="C55" s="61"/>
      <c r="D55" s="61"/>
      <c r="E55" s="61" t="s">
        <v>49</v>
      </c>
      <c r="F55" s="61"/>
      <c r="G55" s="103">
        <v>7298</v>
      </c>
      <c r="H55" s="87">
        <f>'2015 projection'!I54</f>
        <v>8684</v>
      </c>
      <c r="I55" s="87">
        <v>10000</v>
      </c>
    </row>
    <row r="56" spans="1:12">
      <c r="A56" s="61"/>
      <c r="B56" s="61"/>
      <c r="C56" s="61"/>
      <c r="D56" s="61"/>
      <c r="E56" s="61" t="s">
        <v>50</v>
      </c>
      <c r="F56" s="61"/>
      <c r="G56" s="103">
        <v>9983</v>
      </c>
      <c r="H56" s="87">
        <f>'2015 projection'!I55</f>
        <v>13599</v>
      </c>
      <c r="I56" s="87">
        <v>16000</v>
      </c>
    </row>
    <row r="57" spans="1:12">
      <c r="A57" s="61"/>
      <c r="B57" s="61"/>
      <c r="C57" s="61"/>
      <c r="D57" s="61"/>
      <c r="E57" s="61" t="s">
        <v>51</v>
      </c>
      <c r="F57" s="61"/>
      <c r="G57" s="103">
        <v>14200</v>
      </c>
      <c r="H57" s="87">
        <f>'2015 projection'!I56</f>
        <v>24411</v>
      </c>
      <c r="I57" s="87">
        <v>20000</v>
      </c>
    </row>
    <row r="58" spans="1:12">
      <c r="A58" s="61"/>
      <c r="B58" s="61"/>
      <c r="C58" s="61"/>
      <c r="D58" s="61"/>
      <c r="E58" s="61" t="s">
        <v>52</v>
      </c>
      <c r="F58" s="61"/>
      <c r="G58" s="103">
        <v>3159</v>
      </c>
      <c r="H58" s="87">
        <f>'2015 projection'!I57</f>
        <v>3632</v>
      </c>
      <c r="I58" s="87">
        <v>5650.1165000000001</v>
      </c>
    </row>
    <row r="59" spans="1:12">
      <c r="A59" s="61"/>
      <c r="B59" s="61"/>
      <c r="C59" s="61"/>
      <c r="D59" s="61"/>
      <c r="E59" s="61" t="s">
        <v>53</v>
      </c>
      <c r="F59" s="61"/>
      <c r="G59" s="103">
        <v>356</v>
      </c>
      <c r="H59" s="87">
        <f>'2015 projection'!I58</f>
        <v>224</v>
      </c>
      <c r="I59" s="87">
        <v>0</v>
      </c>
    </row>
    <row r="60" spans="1:12" s="90" customFormat="1">
      <c r="A60" s="61"/>
      <c r="B60" s="61"/>
      <c r="C60" s="61"/>
      <c r="D60" s="61"/>
      <c r="E60" s="61" t="s">
        <v>151</v>
      </c>
      <c r="F60" s="61"/>
      <c r="G60" s="103">
        <v>0</v>
      </c>
      <c r="H60" s="87">
        <v>0</v>
      </c>
      <c r="I60" s="87">
        <v>0</v>
      </c>
    </row>
    <row r="61" spans="1:12" s="90" customFormat="1">
      <c r="A61" s="61"/>
      <c r="B61" s="61"/>
      <c r="C61" s="61"/>
      <c r="D61" s="61"/>
      <c r="E61" s="61" t="s">
        <v>181</v>
      </c>
      <c r="F61" s="61"/>
      <c r="G61" s="103">
        <v>0</v>
      </c>
      <c r="H61" s="87">
        <v>0</v>
      </c>
      <c r="I61" s="87">
        <v>4000</v>
      </c>
    </row>
    <row r="62" spans="1:12" s="90" customFormat="1">
      <c r="A62" s="61"/>
      <c r="B62" s="61"/>
      <c r="C62" s="61"/>
      <c r="D62" s="61"/>
      <c r="E62" s="61" t="s">
        <v>182</v>
      </c>
      <c r="F62" s="61"/>
      <c r="G62" s="103">
        <v>0</v>
      </c>
      <c r="H62" s="87">
        <v>0</v>
      </c>
      <c r="I62" s="87">
        <v>6000</v>
      </c>
    </row>
    <row r="63" spans="1:12">
      <c r="A63" s="61"/>
      <c r="B63" s="61"/>
      <c r="C63" s="61"/>
      <c r="D63" s="61" t="s">
        <v>54</v>
      </c>
      <c r="E63" s="61"/>
      <c r="F63" s="61"/>
      <c r="G63" s="103">
        <f>SUM(G51:G60)+SUM(G28:G44)</f>
        <v>362199</v>
      </c>
      <c r="H63" s="87">
        <f>'2015 projection'!I59</f>
        <v>408196.5</v>
      </c>
      <c r="I63" s="87">
        <v>448122.49618081411</v>
      </c>
      <c r="L63" s="26"/>
    </row>
    <row r="64" spans="1:12" ht="30" customHeight="1">
      <c r="A64" s="61"/>
      <c r="B64" s="61"/>
      <c r="C64" s="61"/>
      <c r="D64" s="61" t="s">
        <v>55</v>
      </c>
      <c r="E64" s="61"/>
      <c r="F64" s="61"/>
      <c r="G64" s="103">
        <v>0</v>
      </c>
      <c r="H64" s="87">
        <v>0</v>
      </c>
      <c r="I64" s="87">
        <v>15000</v>
      </c>
    </row>
    <row r="65" spans="1:9">
      <c r="A65" s="61"/>
      <c r="B65" s="61"/>
      <c r="C65" s="61"/>
      <c r="D65" s="61" t="s">
        <v>56</v>
      </c>
      <c r="E65" s="61"/>
      <c r="F65" s="61"/>
      <c r="G65" s="103"/>
      <c r="H65" s="87"/>
      <c r="I65" s="87"/>
    </row>
    <row r="66" spans="1:9">
      <c r="A66" s="61"/>
      <c r="B66" s="61"/>
      <c r="C66" s="61"/>
      <c r="D66" s="61"/>
      <c r="E66" s="61" t="s">
        <v>57</v>
      </c>
      <c r="F66" s="61"/>
      <c r="G66" s="103">
        <v>2970</v>
      </c>
      <c r="H66" s="87">
        <f>'2015 projection'!I62</f>
        <v>2970</v>
      </c>
      <c r="I66" s="87">
        <v>2970</v>
      </c>
    </row>
    <row r="67" spans="1:9">
      <c r="A67" s="61"/>
      <c r="B67" s="61"/>
      <c r="C67" s="61"/>
      <c r="D67" s="61"/>
      <c r="E67" s="61" t="s">
        <v>58</v>
      </c>
      <c r="F67" s="61"/>
      <c r="G67" s="103">
        <v>78519</v>
      </c>
      <c r="H67" s="87">
        <f>'2015 projection'!I63</f>
        <v>77003</v>
      </c>
      <c r="I67" s="87">
        <v>76000</v>
      </c>
    </row>
    <row r="68" spans="1:9" s="69" customFormat="1">
      <c r="A68" s="61"/>
      <c r="B68" s="61"/>
      <c r="C68" s="61"/>
      <c r="D68" s="70" t="s">
        <v>59</v>
      </c>
      <c r="F68" s="61"/>
      <c r="G68" s="103">
        <f>SUM(G66:G67)</f>
        <v>81489</v>
      </c>
      <c r="H68" s="87">
        <f>'2015 projection'!I64</f>
        <v>79973</v>
      </c>
      <c r="I68" s="87">
        <v>78970</v>
      </c>
    </row>
    <row r="69" spans="1:9" ht="30" customHeight="1">
      <c r="A69" s="61"/>
      <c r="B69" s="61"/>
      <c r="C69" s="61" t="s">
        <v>60</v>
      </c>
      <c r="D69" s="61"/>
      <c r="E69" s="61"/>
      <c r="F69" s="61"/>
      <c r="G69" s="103">
        <f>G63+G68</f>
        <v>443688</v>
      </c>
      <c r="H69" s="87">
        <f>'2015 projection'!I65</f>
        <v>488169.5</v>
      </c>
      <c r="I69" s="88">
        <v>542092.49618081411</v>
      </c>
    </row>
    <row r="70" spans="1:9" ht="30" customHeight="1">
      <c r="A70" s="61"/>
      <c r="B70" s="61" t="s">
        <v>61</v>
      </c>
      <c r="C70" s="61"/>
      <c r="D70" s="61"/>
      <c r="E70" s="61"/>
      <c r="F70" s="61"/>
      <c r="G70" s="103">
        <f>G25-G69</f>
        <v>-43363</v>
      </c>
      <c r="H70" s="87">
        <f>'2015 projection'!I66</f>
        <v>22995.739999999991</v>
      </c>
      <c r="I70" s="88">
        <v>-17951.246180814109</v>
      </c>
    </row>
    <row r="71" spans="1:9" ht="30" customHeight="1">
      <c r="A71" s="61"/>
      <c r="B71" s="61" t="s">
        <v>62</v>
      </c>
      <c r="C71" s="61"/>
      <c r="D71" s="61"/>
      <c r="E71" s="61"/>
      <c r="F71" s="61"/>
      <c r="G71" s="103"/>
      <c r="H71" s="87"/>
      <c r="I71" s="87"/>
    </row>
    <row r="72" spans="1:9">
      <c r="A72" s="61"/>
      <c r="B72" s="61"/>
      <c r="C72" s="61" t="s">
        <v>63</v>
      </c>
      <c r="D72" s="61"/>
      <c r="E72" s="61"/>
      <c r="F72" s="61"/>
      <c r="G72" s="103"/>
      <c r="H72" s="87"/>
      <c r="I72" s="87"/>
    </row>
    <row r="73" spans="1:9">
      <c r="A73" s="61"/>
      <c r="B73" s="61"/>
      <c r="C73" s="61"/>
      <c r="D73" s="61" t="s">
        <v>63</v>
      </c>
      <c r="E73" s="61"/>
      <c r="F73" s="61"/>
      <c r="G73" s="103"/>
      <c r="H73" s="87"/>
      <c r="I73" s="87"/>
    </row>
    <row r="74" spans="1:9">
      <c r="A74" s="61"/>
      <c r="B74" s="61"/>
      <c r="C74" s="61"/>
      <c r="D74" s="61"/>
      <c r="E74" s="61" t="s">
        <v>64</v>
      </c>
      <c r="F74" s="61"/>
      <c r="G74" s="103">
        <v>43483</v>
      </c>
      <c r="H74" s="87">
        <f>'2015 projection'!I70</f>
        <v>48836</v>
      </c>
      <c r="I74" s="87">
        <v>44000</v>
      </c>
    </row>
    <row r="75" spans="1:9">
      <c r="A75" s="61"/>
      <c r="B75" s="61"/>
      <c r="C75" s="61"/>
      <c r="D75" s="61"/>
      <c r="E75" s="61" t="s">
        <v>65</v>
      </c>
      <c r="F75" s="61"/>
      <c r="G75" s="103">
        <v>255799</v>
      </c>
      <c r="H75" s="87">
        <f>'2015 projection'!I71</f>
        <v>255501</v>
      </c>
      <c r="I75" s="87">
        <v>255522.5</v>
      </c>
    </row>
    <row r="76" spans="1:9" s="90" customFormat="1">
      <c r="A76" s="61"/>
      <c r="B76" s="61"/>
      <c r="C76" s="61"/>
      <c r="D76" s="61"/>
      <c r="E76" s="91" t="s">
        <v>155</v>
      </c>
      <c r="F76" s="61"/>
      <c r="G76" s="103">
        <v>6339</v>
      </c>
      <c r="H76" s="87">
        <v>57660</v>
      </c>
      <c r="I76" s="87">
        <v>436001</v>
      </c>
    </row>
    <row r="77" spans="1:9" s="90" customFormat="1">
      <c r="A77" s="61"/>
      <c r="B77" s="61"/>
      <c r="C77" s="61"/>
      <c r="D77" s="61"/>
      <c r="E77" s="61" t="s">
        <v>186</v>
      </c>
      <c r="F77" s="61"/>
      <c r="G77" s="103">
        <v>0</v>
      </c>
      <c r="H77" s="87">
        <v>0</v>
      </c>
      <c r="I77" s="87">
        <v>67000</v>
      </c>
    </row>
    <row r="78" spans="1:9">
      <c r="A78" s="61"/>
      <c r="B78" s="61"/>
      <c r="C78" s="61"/>
      <c r="D78" s="61"/>
      <c r="E78" s="61" t="s">
        <v>66</v>
      </c>
      <c r="F78" s="61"/>
      <c r="G78" s="103">
        <v>3981</v>
      </c>
      <c r="H78" s="87">
        <v>0</v>
      </c>
      <c r="I78" s="87">
        <v>0</v>
      </c>
    </row>
    <row r="79" spans="1:9">
      <c r="A79" s="61"/>
      <c r="B79" s="61"/>
      <c r="C79" s="61"/>
      <c r="D79" s="61" t="s">
        <v>67</v>
      </c>
      <c r="E79" s="61"/>
      <c r="F79" s="61"/>
      <c r="G79" s="103">
        <f>SUM(G74:G78)</f>
        <v>309602</v>
      </c>
      <c r="H79" s="87">
        <f>'2015 projection'!I74</f>
        <v>317542.84000000003</v>
      </c>
      <c r="I79" s="88">
        <v>840683.5</v>
      </c>
    </row>
    <row r="80" spans="1:9" ht="30" customHeight="1">
      <c r="A80" s="61"/>
      <c r="B80" s="61"/>
      <c r="C80" s="61" t="s">
        <v>67</v>
      </c>
      <c r="D80" s="61"/>
      <c r="E80" s="61"/>
      <c r="F80" s="61"/>
      <c r="G80" s="103"/>
      <c r="H80" s="87"/>
      <c r="I80" s="87"/>
    </row>
    <row r="81" spans="1:9" ht="30" customHeight="1">
      <c r="A81" s="61"/>
      <c r="B81" s="61"/>
      <c r="C81" s="61" t="s">
        <v>68</v>
      </c>
      <c r="D81" s="61"/>
      <c r="E81" s="61"/>
      <c r="F81" s="61"/>
      <c r="G81" s="103"/>
      <c r="H81" s="87"/>
      <c r="I81" s="87"/>
    </row>
    <row r="82" spans="1:9">
      <c r="A82" s="61"/>
      <c r="B82" s="61"/>
      <c r="C82" s="61"/>
      <c r="D82" s="61" t="s">
        <v>69</v>
      </c>
      <c r="E82" s="61"/>
      <c r="F82" s="61"/>
      <c r="G82" s="103"/>
      <c r="H82" s="87"/>
      <c r="I82" s="87"/>
    </row>
    <row r="83" spans="1:9" s="90" customFormat="1">
      <c r="A83" s="61"/>
      <c r="B83" s="61"/>
      <c r="C83" s="61"/>
      <c r="D83" s="61"/>
      <c r="E83" s="61" t="s">
        <v>152</v>
      </c>
      <c r="F83" s="61"/>
      <c r="G83" s="103">
        <v>16788</v>
      </c>
      <c r="H83" s="87">
        <f>'2015 projection'!I78</f>
        <v>0</v>
      </c>
      <c r="I83" s="87">
        <v>0</v>
      </c>
    </row>
    <row r="84" spans="1:9">
      <c r="A84" s="61"/>
      <c r="B84" s="61"/>
      <c r="C84" s="61"/>
      <c r="D84" s="61"/>
      <c r="E84" s="61" t="s">
        <v>70</v>
      </c>
      <c r="F84" s="61"/>
      <c r="G84" s="103">
        <v>55517</v>
      </c>
      <c r="H84" s="87">
        <f>'2015 projection'!I79</f>
        <v>34893</v>
      </c>
      <c r="I84" s="87">
        <v>35721</v>
      </c>
    </row>
    <row r="85" spans="1:9">
      <c r="A85" s="61"/>
      <c r="B85" s="61"/>
      <c r="C85" s="61"/>
      <c r="D85" s="61"/>
      <c r="E85" s="61" t="s">
        <v>71</v>
      </c>
      <c r="F85" s="61"/>
      <c r="G85" s="103">
        <v>91500</v>
      </c>
      <c r="H85" s="87">
        <f>'2015 projection'!I80</f>
        <v>93339</v>
      </c>
      <c r="I85" s="87">
        <v>95216</v>
      </c>
    </row>
    <row r="86" spans="1:9">
      <c r="A86" s="61"/>
      <c r="B86" s="61"/>
      <c r="C86" s="61"/>
      <c r="D86" s="61"/>
      <c r="E86" s="61" t="s">
        <v>72</v>
      </c>
      <c r="F86" s="61"/>
      <c r="G86" s="103">
        <v>32135</v>
      </c>
      <c r="H86" s="87">
        <f>'2015 projection'!I81</f>
        <v>30603</v>
      </c>
      <c r="I86" s="87">
        <v>28727</v>
      </c>
    </row>
    <row r="87" spans="1:9">
      <c r="A87" s="61"/>
      <c r="B87" s="61"/>
      <c r="C87" s="61"/>
      <c r="D87" s="61"/>
      <c r="E87" s="70" t="s">
        <v>138</v>
      </c>
      <c r="F87" s="61"/>
      <c r="G87" s="103">
        <v>36000</v>
      </c>
      <c r="H87" s="87">
        <f>'2015 projection'!I82</f>
        <v>39000</v>
      </c>
      <c r="I87" s="87">
        <v>42000</v>
      </c>
    </row>
    <row r="88" spans="1:9">
      <c r="A88" s="61"/>
      <c r="B88" s="61"/>
      <c r="C88" s="61"/>
      <c r="D88" s="61"/>
      <c r="E88" s="70" t="s">
        <v>137</v>
      </c>
      <c r="F88" s="61"/>
      <c r="G88" s="103">
        <v>18800</v>
      </c>
      <c r="H88" s="87">
        <f>'2015 projection'!I83</f>
        <v>17300</v>
      </c>
      <c r="I88" s="87">
        <v>15350</v>
      </c>
    </row>
    <row r="89" spans="1:9">
      <c r="A89" s="61"/>
      <c r="B89" s="61"/>
      <c r="C89" s="61"/>
      <c r="D89" s="61"/>
      <c r="E89" s="61" t="s">
        <v>73</v>
      </c>
      <c r="F89" s="61"/>
      <c r="G89" s="103">
        <v>257</v>
      </c>
      <c r="H89" s="87">
        <v>0</v>
      </c>
      <c r="I89" s="87">
        <v>0</v>
      </c>
    </row>
    <row r="90" spans="1:9" s="69" customFormat="1">
      <c r="A90" s="61"/>
      <c r="B90" s="61"/>
      <c r="C90" s="61"/>
      <c r="D90" s="61"/>
      <c r="E90" s="70" t="s">
        <v>140</v>
      </c>
      <c r="F90" s="61"/>
      <c r="G90" s="103">
        <v>4848</v>
      </c>
      <c r="H90" s="87">
        <f>'2015 projection'!I84</f>
        <v>12377</v>
      </c>
      <c r="I90" s="87">
        <v>3000</v>
      </c>
    </row>
    <row r="91" spans="1:9" s="90" customFormat="1">
      <c r="A91" s="61"/>
      <c r="B91" s="61"/>
      <c r="C91" s="61"/>
      <c r="D91" s="61"/>
      <c r="E91" s="91" t="s">
        <v>121</v>
      </c>
      <c r="F91" s="61"/>
      <c r="G91" s="103">
        <v>0</v>
      </c>
      <c r="H91" s="87">
        <v>0</v>
      </c>
      <c r="I91" s="87">
        <v>12000</v>
      </c>
    </row>
    <row r="92" spans="1:9" s="69" customFormat="1">
      <c r="A92" s="61"/>
      <c r="B92" s="61"/>
      <c r="C92" s="61"/>
      <c r="D92" s="61"/>
      <c r="E92" s="70" t="s">
        <v>144</v>
      </c>
      <c r="F92" s="61"/>
      <c r="G92" s="103">
        <v>0</v>
      </c>
      <c r="H92" s="87">
        <f>'2015 projection'!I85</f>
        <v>77000</v>
      </c>
      <c r="I92" s="87">
        <v>75000</v>
      </c>
    </row>
    <row r="93" spans="1:9">
      <c r="A93" s="61"/>
      <c r="B93" s="61"/>
      <c r="C93" s="61"/>
      <c r="D93" s="61" t="s">
        <v>74</v>
      </c>
      <c r="E93" s="61"/>
      <c r="F93" s="61"/>
      <c r="G93" s="103">
        <f>SUM(G83:G92)</f>
        <v>255845</v>
      </c>
      <c r="H93" s="87">
        <f>'2015 projection'!I86</f>
        <v>304512</v>
      </c>
      <c r="I93" s="88">
        <v>307014</v>
      </c>
    </row>
    <row r="94" spans="1:9" ht="30" customHeight="1">
      <c r="A94" s="61"/>
      <c r="B94" s="61" t="s">
        <v>75</v>
      </c>
      <c r="C94" s="61"/>
      <c r="D94" s="61"/>
      <c r="E94" s="61"/>
      <c r="F94" s="61"/>
      <c r="G94" s="103">
        <f>G79-G93</f>
        <v>53757</v>
      </c>
      <c r="H94" s="103">
        <f t="shared" ref="H94:I94" si="0">H79-H93</f>
        <v>13030.840000000026</v>
      </c>
      <c r="I94" s="103">
        <v>533669.5</v>
      </c>
    </row>
    <row r="95" spans="1:9" s="2" customFormat="1" ht="30" customHeight="1">
      <c r="A95" s="61" t="s">
        <v>76</v>
      </c>
      <c r="B95" s="61"/>
      <c r="C95" s="61"/>
      <c r="D95" s="61"/>
      <c r="E95" s="61"/>
      <c r="F95" s="61"/>
      <c r="G95" s="103">
        <f>G94+G70</f>
        <v>10394</v>
      </c>
      <c r="H95" s="87">
        <f>'2015 projection'!I88</f>
        <v>36026.579999999987</v>
      </c>
      <c r="I95" s="88">
        <v>515718.25381918589</v>
      </c>
    </row>
    <row r="97" spans="1:10" s="69" customFormat="1">
      <c r="A97" s="64"/>
      <c r="B97" s="64"/>
      <c r="C97" s="64"/>
      <c r="D97" s="64"/>
      <c r="E97" s="64"/>
      <c r="F97" s="64"/>
      <c r="G97" s="102"/>
      <c r="H97" s="62"/>
      <c r="I97" s="62"/>
    </row>
    <row r="98" spans="1:10" ht="51.75">
      <c r="G98" s="104" t="s">
        <v>130</v>
      </c>
      <c r="H98" s="46" t="s">
        <v>145</v>
      </c>
      <c r="I98" s="46" t="s">
        <v>124</v>
      </c>
      <c r="J98" s="46" t="s">
        <v>131</v>
      </c>
    </row>
    <row r="99" spans="1:10">
      <c r="F99" s="47" t="s">
        <v>177</v>
      </c>
      <c r="G99" s="105">
        <f>'Fund Bal Sum'!B4</f>
        <v>480974</v>
      </c>
      <c r="H99" s="48">
        <f>'Fund Bal Sum'!C4</f>
        <v>111068.18</v>
      </c>
      <c r="I99" s="48">
        <f>'Fund Bal Sum'!D4</f>
        <v>-12506.239999999991</v>
      </c>
      <c r="J99" s="48">
        <f>'Fund Bal Sum'!E4</f>
        <v>382412.06</v>
      </c>
    </row>
    <row r="100" spans="1:10">
      <c r="A100" s="85"/>
      <c r="B100" s="85"/>
      <c r="C100" s="85"/>
      <c r="D100" s="85"/>
      <c r="E100" s="85"/>
      <c r="F100" s="51" t="s">
        <v>179</v>
      </c>
      <c r="G100" s="105">
        <f>'Fund Bal Sum'!B5</f>
        <v>72938.579999999987</v>
      </c>
      <c r="H100" s="48">
        <f>'Fund Bal Sum'!C5</f>
        <v>3545</v>
      </c>
      <c r="I100" s="48">
        <f>'Fund Bal Sum'!D5</f>
        <v>12860</v>
      </c>
      <c r="J100" s="48">
        <f>'Fund Bal Sum'!E5</f>
        <v>56533.579999999987</v>
      </c>
    </row>
    <row r="101" spans="1:10">
      <c r="F101" s="47" t="s">
        <v>148</v>
      </c>
      <c r="G101" s="105">
        <f>'Fund Bal Sum'!B6</f>
        <v>553912.57999999996</v>
      </c>
      <c r="H101" s="48">
        <f>'Fund Bal Sum'!C6</f>
        <v>111068.18</v>
      </c>
      <c r="I101" s="48">
        <f>'Fund Bal Sum'!D6</f>
        <v>353.76000000000931</v>
      </c>
      <c r="J101" s="48">
        <f>'Fund Bal Sum'!E6</f>
        <v>442490.63999999996</v>
      </c>
    </row>
    <row r="102" spans="1:10">
      <c r="F102" s="51" t="s">
        <v>180</v>
      </c>
      <c r="G102" s="105">
        <f>'Fund Bal Sum'!B7</f>
        <v>-14282.746180814109</v>
      </c>
      <c r="H102" s="48">
        <f>'Fund Bal Sum'!C7</f>
        <v>3545</v>
      </c>
      <c r="I102" s="48">
        <f>'Fund Bal Sum'!D7</f>
        <v>13115</v>
      </c>
      <c r="J102" s="48">
        <f>'Fund Bal Sum'!E7</f>
        <v>-30942.746180814109</v>
      </c>
    </row>
    <row r="103" spans="1:10">
      <c r="F103" s="47" t="s">
        <v>178</v>
      </c>
      <c r="G103" s="105">
        <f>'Fund Bal Sum'!B8</f>
        <v>539629.83381918585</v>
      </c>
      <c r="H103" s="48">
        <f>'Fund Bal Sum'!C8</f>
        <v>114613.18</v>
      </c>
      <c r="I103" s="48">
        <f>'Fund Bal Sum'!D8</f>
        <v>13468.760000000009</v>
      </c>
      <c r="J103" s="48">
        <f>'Fund Bal Sum'!E8</f>
        <v>411547.89381918585</v>
      </c>
    </row>
  </sheetData>
  <pageMargins left="0.7" right="0.7" top="0.75" bottom="0.75" header="0.25" footer="0.3"/>
  <pageSetup scale="75" fitToHeight="2" orientation="portrait" horizontalDpi="4294967293" verticalDpi="0" r:id="rId1"/>
  <headerFooter>
    <oddHeader>&amp;L&amp;"Arial,Bold"&amp;8 &amp;C&amp;"Arial,Bold"&amp;12 Lake Durango Water Authority
2016
 Draft Budget</oddHeader>
    <oddFooter>&amp;R&amp;"Arial,Bold"&amp;8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E12" sqref="E12"/>
    </sheetView>
  </sheetViews>
  <sheetFormatPr defaultRowHeight="15"/>
  <cols>
    <col min="1" max="1" width="57.42578125" customWidth="1"/>
    <col min="2" max="2" width="3.5703125" customWidth="1"/>
    <col min="3" max="3" width="10.140625" style="96" bestFit="1" customWidth="1"/>
    <col min="4" max="4" width="3.28515625" customWidth="1"/>
    <col min="5" max="5" width="43.42578125" customWidth="1"/>
  </cols>
  <sheetData>
    <row r="1" spans="1:5">
      <c r="A1" s="90" t="s">
        <v>175</v>
      </c>
    </row>
    <row r="2" spans="1:5" s="90" customFormat="1">
      <c r="C2" s="96"/>
    </row>
    <row r="3" spans="1:5">
      <c r="A3" s="99" t="s">
        <v>159</v>
      </c>
      <c r="C3" s="97" t="s">
        <v>160</v>
      </c>
      <c r="E3" s="99" t="s">
        <v>161</v>
      </c>
    </row>
    <row r="4" spans="1:5" s="90" customFormat="1">
      <c r="A4" s="90" t="s">
        <v>157</v>
      </c>
      <c r="C4" s="96">
        <v>2585000</v>
      </c>
      <c r="E4" s="90" t="s">
        <v>174</v>
      </c>
    </row>
    <row r="5" spans="1:5" s="90" customFormat="1">
      <c r="A5" s="90" t="s">
        <v>158</v>
      </c>
      <c r="C5" s="96">
        <v>150000</v>
      </c>
      <c r="E5" s="90" t="s">
        <v>162</v>
      </c>
    </row>
    <row r="6" spans="1:5" s="90" customFormat="1">
      <c r="A6" s="90" t="s">
        <v>190</v>
      </c>
      <c r="C6" s="96">
        <v>35000</v>
      </c>
    </row>
    <row r="7" spans="1:5">
      <c r="A7" s="90" t="s">
        <v>184</v>
      </c>
      <c r="C7" s="96">
        <v>50000</v>
      </c>
      <c r="E7" s="90" t="s">
        <v>163</v>
      </c>
    </row>
    <row r="8" spans="1:5" s="90" customFormat="1">
      <c r="A8" s="90" t="s">
        <v>176</v>
      </c>
      <c r="C8" s="98">
        <v>75000</v>
      </c>
      <c r="E8" s="90" t="s">
        <v>185</v>
      </c>
    </row>
    <row r="9" spans="1:5" s="90" customFormat="1" ht="15.75" thickBot="1">
      <c r="A9" s="90" t="s">
        <v>183</v>
      </c>
      <c r="C9" s="114">
        <v>10000</v>
      </c>
      <c r="E9" s="90" t="s">
        <v>185</v>
      </c>
    </row>
    <row r="10" spans="1:5">
      <c r="A10" s="90" t="s">
        <v>92</v>
      </c>
      <c r="C10" s="96">
        <f>SUM(C4:C9)</f>
        <v>2905000</v>
      </c>
    </row>
  </sheetData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6"/>
  <sheetViews>
    <sheetView workbookViewId="0">
      <selection activeCell="C7" sqref="C7"/>
    </sheetView>
  </sheetViews>
  <sheetFormatPr defaultRowHeight="12.75"/>
  <cols>
    <col min="1" max="1" width="64.42578125" style="50" customWidth="1"/>
    <col min="2" max="2" width="14.42578125" style="50" customWidth="1"/>
    <col min="3" max="3" width="13.5703125" style="50" customWidth="1"/>
    <col min="4" max="4" width="13.42578125" style="50" customWidth="1"/>
    <col min="5" max="5" width="11.7109375" style="50" customWidth="1"/>
    <col min="6" max="255" width="9.140625" style="50"/>
    <col min="256" max="256" width="61.85546875" style="50" customWidth="1"/>
    <col min="257" max="257" width="19.5703125" style="50" customWidth="1"/>
    <col min="258" max="258" width="14.85546875" style="50" customWidth="1"/>
    <col min="259" max="259" width="19.28515625" style="50" customWidth="1"/>
    <col min="260" max="260" width="18" style="50" customWidth="1"/>
    <col min="261" max="511" width="9.140625" style="50"/>
    <col min="512" max="512" width="61.85546875" style="50" customWidth="1"/>
    <col min="513" max="513" width="19.5703125" style="50" customWidth="1"/>
    <col min="514" max="514" width="14.85546875" style="50" customWidth="1"/>
    <col min="515" max="515" width="19.28515625" style="50" customWidth="1"/>
    <col min="516" max="516" width="18" style="50" customWidth="1"/>
    <col min="517" max="767" width="9.140625" style="50"/>
    <col min="768" max="768" width="61.85546875" style="50" customWidth="1"/>
    <col min="769" max="769" width="19.5703125" style="50" customWidth="1"/>
    <col min="770" max="770" width="14.85546875" style="50" customWidth="1"/>
    <col min="771" max="771" width="19.28515625" style="50" customWidth="1"/>
    <col min="772" max="772" width="18" style="50" customWidth="1"/>
    <col min="773" max="1023" width="9.140625" style="50"/>
    <col min="1024" max="1024" width="61.85546875" style="50" customWidth="1"/>
    <col min="1025" max="1025" width="19.5703125" style="50" customWidth="1"/>
    <col min="1026" max="1026" width="14.85546875" style="50" customWidth="1"/>
    <col min="1027" max="1027" width="19.28515625" style="50" customWidth="1"/>
    <col min="1028" max="1028" width="18" style="50" customWidth="1"/>
    <col min="1029" max="1279" width="9.140625" style="50"/>
    <col min="1280" max="1280" width="61.85546875" style="50" customWidth="1"/>
    <col min="1281" max="1281" width="19.5703125" style="50" customWidth="1"/>
    <col min="1282" max="1282" width="14.85546875" style="50" customWidth="1"/>
    <col min="1283" max="1283" width="19.28515625" style="50" customWidth="1"/>
    <col min="1284" max="1284" width="18" style="50" customWidth="1"/>
    <col min="1285" max="1535" width="9.140625" style="50"/>
    <col min="1536" max="1536" width="61.85546875" style="50" customWidth="1"/>
    <col min="1537" max="1537" width="19.5703125" style="50" customWidth="1"/>
    <col min="1538" max="1538" width="14.85546875" style="50" customWidth="1"/>
    <col min="1539" max="1539" width="19.28515625" style="50" customWidth="1"/>
    <col min="1540" max="1540" width="18" style="50" customWidth="1"/>
    <col min="1541" max="1791" width="9.140625" style="50"/>
    <col min="1792" max="1792" width="61.85546875" style="50" customWidth="1"/>
    <col min="1793" max="1793" width="19.5703125" style="50" customWidth="1"/>
    <col min="1794" max="1794" width="14.85546875" style="50" customWidth="1"/>
    <col min="1795" max="1795" width="19.28515625" style="50" customWidth="1"/>
    <col min="1796" max="1796" width="18" style="50" customWidth="1"/>
    <col min="1797" max="2047" width="9.140625" style="50"/>
    <col min="2048" max="2048" width="61.85546875" style="50" customWidth="1"/>
    <col min="2049" max="2049" width="19.5703125" style="50" customWidth="1"/>
    <col min="2050" max="2050" width="14.85546875" style="50" customWidth="1"/>
    <col min="2051" max="2051" width="19.28515625" style="50" customWidth="1"/>
    <col min="2052" max="2052" width="18" style="50" customWidth="1"/>
    <col min="2053" max="2303" width="9.140625" style="50"/>
    <col min="2304" max="2304" width="61.85546875" style="50" customWidth="1"/>
    <col min="2305" max="2305" width="19.5703125" style="50" customWidth="1"/>
    <col min="2306" max="2306" width="14.85546875" style="50" customWidth="1"/>
    <col min="2307" max="2307" width="19.28515625" style="50" customWidth="1"/>
    <col min="2308" max="2308" width="18" style="50" customWidth="1"/>
    <col min="2309" max="2559" width="9.140625" style="50"/>
    <col min="2560" max="2560" width="61.85546875" style="50" customWidth="1"/>
    <col min="2561" max="2561" width="19.5703125" style="50" customWidth="1"/>
    <col min="2562" max="2562" width="14.85546875" style="50" customWidth="1"/>
    <col min="2563" max="2563" width="19.28515625" style="50" customWidth="1"/>
    <col min="2564" max="2564" width="18" style="50" customWidth="1"/>
    <col min="2565" max="2815" width="9.140625" style="50"/>
    <col min="2816" max="2816" width="61.85546875" style="50" customWidth="1"/>
    <col min="2817" max="2817" width="19.5703125" style="50" customWidth="1"/>
    <col min="2818" max="2818" width="14.85546875" style="50" customWidth="1"/>
    <col min="2819" max="2819" width="19.28515625" style="50" customWidth="1"/>
    <col min="2820" max="2820" width="18" style="50" customWidth="1"/>
    <col min="2821" max="3071" width="9.140625" style="50"/>
    <col min="3072" max="3072" width="61.85546875" style="50" customWidth="1"/>
    <col min="3073" max="3073" width="19.5703125" style="50" customWidth="1"/>
    <col min="3074" max="3074" width="14.85546875" style="50" customWidth="1"/>
    <col min="3075" max="3075" width="19.28515625" style="50" customWidth="1"/>
    <col min="3076" max="3076" width="18" style="50" customWidth="1"/>
    <col min="3077" max="3327" width="9.140625" style="50"/>
    <col min="3328" max="3328" width="61.85546875" style="50" customWidth="1"/>
    <col min="3329" max="3329" width="19.5703125" style="50" customWidth="1"/>
    <col min="3330" max="3330" width="14.85546875" style="50" customWidth="1"/>
    <col min="3331" max="3331" width="19.28515625" style="50" customWidth="1"/>
    <col min="3332" max="3332" width="18" style="50" customWidth="1"/>
    <col min="3333" max="3583" width="9.140625" style="50"/>
    <col min="3584" max="3584" width="61.85546875" style="50" customWidth="1"/>
    <col min="3585" max="3585" width="19.5703125" style="50" customWidth="1"/>
    <col min="3586" max="3586" width="14.85546875" style="50" customWidth="1"/>
    <col min="3587" max="3587" width="19.28515625" style="50" customWidth="1"/>
    <col min="3588" max="3588" width="18" style="50" customWidth="1"/>
    <col min="3589" max="3839" width="9.140625" style="50"/>
    <col min="3840" max="3840" width="61.85546875" style="50" customWidth="1"/>
    <col min="3841" max="3841" width="19.5703125" style="50" customWidth="1"/>
    <col min="3842" max="3842" width="14.85546875" style="50" customWidth="1"/>
    <col min="3843" max="3843" width="19.28515625" style="50" customWidth="1"/>
    <col min="3844" max="3844" width="18" style="50" customWidth="1"/>
    <col min="3845" max="4095" width="9.140625" style="50"/>
    <col min="4096" max="4096" width="61.85546875" style="50" customWidth="1"/>
    <col min="4097" max="4097" width="19.5703125" style="50" customWidth="1"/>
    <col min="4098" max="4098" width="14.85546875" style="50" customWidth="1"/>
    <col min="4099" max="4099" width="19.28515625" style="50" customWidth="1"/>
    <col min="4100" max="4100" width="18" style="50" customWidth="1"/>
    <col min="4101" max="4351" width="9.140625" style="50"/>
    <col min="4352" max="4352" width="61.85546875" style="50" customWidth="1"/>
    <col min="4353" max="4353" width="19.5703125" style="50" customWidth="1"/>
    <col min="4354" max="4354" width="14.85546875" style="50" customWidth="1"/>
    <col min="4355" max="4355" width="19.28515625" style="50" customWidth="1"/>
    <col min="4356" max="4356" width="18" style="50" customWidth="1"/>
    <col min="4357" max="4607" width="9.140625" style="50"/>
    <col min="4608" max="4608" width="61.85546875" style="50" customWidth="1"/>
    <col min="4609" max="4609" width="19.5703125" style="50" customWidth="1"/>
    <col min="4610" max="4610" width="14.85546875" style="50" customWidth="1"/>
    <col min="4611" max="4611" width="19.28515625" style="50" customWidth="1"/>
    <col min="4612" max="4612" width="18" style="50" customWidth="1"/>
    <col min="4613" max="4863" width="9.140625" style="50"/>
    <col min="4864" max="4864" width="61.85546875" style="50" customWidth="1"/>
    <col min="4865" max="4865" width="19.5703125" style="50" customWidth="1"/>
    <col min="4866" max="4866" width="14.85546875" style="50" customWidth="1"/>
    <col min="4867" max="4867" width="19.28515625" style="50" customWidth="1"/>
    <col min="4868" max="4868" width="18" style="50" customWidth="1"/>
    <col min="4869" max="5119" width="9.140625" style="50"/>
    <col min="5120" max="5120" width="61.85546875" style="50" customWidth="1"/>
    <col min="5121" max="5121" width="19.5703125" style="50" customWidth="1"/>
    <col min="5122" max="5122" width="14.85546875" style="50" customWidth="1"/>
    <col min="5123" max="5123" width="19.28515625" style="50" customWidth="1"/>
    <col min="5124" max="5124" width="18" style="50" customWidth="1"/>
    <col min="5125" max="5375" width="9.140625" style="50"/>
    <col min="5376" max="5376" width="61.85546875" style="50" customWidth="1"/>
    <col min="5377" max="5377" width="19.5703125" style="50" customWidth="1"/>
    <col min="5378" max="5378" width="14.85546875" style="50" customWidth="1"/>
    <col min="5379" max="5379" width="19.28515625" style="50" customWidth="1"/>
    <col min="5380" max="5380" width="18" style="50" customWidth="1"/>
    <col min="5381" max="5631" width="9.140625" style="50"/>
    <col min="5632" max="5632" width="61.85546875" style="50" customWidth="1"/>
    <col min="5633" max="5633" width="19.5703125" style="50" customWidth="1"/>
    <col min="5634" max="5634" width="14.85546875" style="50" customWidth="1"/>
    <col min="5635" max="5635" width="19.28515625" style="50" customWidth="1"/>
    <col min="5636" max="5636" width="18" style="50" customWidth="1"/>
    <col min="5637" max="5887" width="9.140625" style="50"/>
    <col min="5888" max="5888" width="61.85546875" style="50" customWidth="1"/>
    <col min="5889" max="5889" width="19.5703125" style="50" customWidth="1"/>
    <col min="5890" max="5890" width="14.85546875" style="50" customWidth="1"/>
    <col min="5891" max="5891" width="19.28515625" style="50" customWidth="1"/>
    <col min="5892" max="5892" width="18" style="50" customWidth="1"/>
    <col min="5893" max="6143" width="9.140625" style="50"/>
    <col min="6144" max="6144" width="61.85546875" style="50" customWidth="1"/>
    <col min="6145" max="6145" width="19.5703125" style="50" customWidth="1"/>
    <col min="6146" max="6146" width="14.85546875" style="50" customWidth="1"/>
    <col min="6147" max="6147" width="19.28515625" style="50" customWidth="1"/>
    <col min="6148" max="6148" width="18" style="50" customWidth="1"/>
    <col min="6149" max="6399" width="9.140625" style="50"/>
    <col min="6400" max="6400" width="61.85546875" style="50" customWidth="1"/>
    <col min="6401" max="6401" width="19.5703125" style="50" customWidth="1"/>
    <col min="6402" max="6402" width="14.85546875" style="50" customWidth="1"/>
    <col min="6403" max="6403" width="19.28515625" style="50" customWidth="1"/>
    <col min="6404" max="6404" width="18" style="50" customWidth="1"/>
    <col min="6405" max="6655" width="9.140625" style="50"/>
    <col min="6656" max="6656" width="61.85546875" style="50" customWidth="1"/>
    <col min="6657" max="6657" width="19.5703125" style="50" customWidth="1"/>
    <col min="6658" max="6658" width="14.85546875" style="50" customWidth="1"/>
    <col min="6659" max="6659" width="19.28515625" style="50" customWidth="1"/>
    <col min="6660" max="6660" width="18" style="50" customWidth="1"/>
    <col min="6661" max="6911" width="9.140625" style="50"/>
    <col min="6912" max="6912" width="61.85546875" style="50" customWidth="1"/>
    <col min="6913" max="6913" width="19.5703125" style="50" customWidth="1"/>
    <col min="6914" max="6914" width="14.85546875" style="50" customWidth="1"/>
    <col min="6915" max="6915" width="19.28515625" style="50" customWidth="1"/>
    <col min="6916" max="6916" width="18" style="50" customWidth="1"/>
    <col min="6917" max="7167" width="9.140625" style="50"/>
    <col min="7168" max="7168" width="61.85546875" style="50" customWidth="1"/>
    <col min="7169" max="7169" width="19.5703125" style="50" customWidth="1"/>
    <col min="7170" max="7170" width="14.85546875" style="50" customWidth="1"/>
    <col min="7171" max="7171" width="19.28515625" style="50" customWidth="1"/>
    <col min="7172" max="7172" width="18" style="50" customWidth="1"/>
    <col min="7173" max="7423" width="9.140625" style="50"/>
    <col min="7424" max="7424" width="61.85546875" style="50" customWidth="1"/>
    <col min="7425" max="7425" width="19.5703125" style="50" customWidth="1"/>
    <col min="7426" max="7426" width="14.85546875" style="50" customWidth="1"/>
    <col min="7427" max="7427" width="19.28515625" style="50" customWidth="1"/>
    <col min="7428" max="7428" width="18" style="50" customWidth="1"/>
    <col min="7429" max="7679" width="9.140625" style="50"/>
    <col min="7680" max="7680" width="61.85546875" style="50" customWidth="1"/>
    <col min="7681" max="7681" width="19.5703125" style="50" customWidth="1"/>
    <col min="7682" max="7682" width="14.85546875" style="50" customWidth="1"/>
    <col min="7683" max="7683" width="19.28515625" style="50" customWidth="1"/>
    <col min="7684" max="7684" width="18" style="50" customWidth="1"/>
    <col min="7685" max="7935" width="9.140625" style="50"/>
    <col min="7936" max="7936" width="61.85546875" style="50" customWidth="1"/>
    <col min="7937" max="7937" width="19.5703125" style="50" customWidth="1"/>
    <col min="7938" max="7938" width="14.85546875" style="50" customWidth="1"/>
    <col min="7939" max="7939" width="19.28515625" style="50" customWidth="1"/>
    <col min="7940" max="7940" width="18" style="50" customWidth="1"/>
    <col min="7941" max="8191" width="9.140625" style="50"/>
    <col min="8192" max="8192" width="61.85546875" style="50" customWidth="1"/>
    <col min="8193" max="8193" width="19.5703125" style="50" customWidth="1"/>
    <col min="8194" max="8194" width="14.85546875" style="50" customWidth="1"/>
    <col min="8195" max="8195" width="19.28515625" style="50" customWidth="1"/>
    <col min="8196" max="8196" width="18" style="50" customWidth="1"/>
    <col min="8197" max="8447" width="9.140625" style="50"/>
    <col min="8448" max="8448" width="61.85546875" style="50" customWidth="1"/>
    <col min="8449" max="8449" width="19.5703125" style="50" customWidth="1"/>
    <col min="8450" max="8450" width="14.85546875" style="50" customWidth="1"/>
    <col min="8451" max="8451" width="19.28515625" style="50" customWidth="1"/>
    <col min="8452" max="8452" width="18" style="50" customWidth="1"/>
    <col min="8453" max="8703" width="9.140625" style="50"/>
    <col min="8704" max="8704" width="61.85546875" style="50" customWidth="1"/>
    <col min="8705" max="8705" width="19.5703125" style="50" customWidth="1"/>
    <col min="8706" max="8706" width="14.85546875" style="50" customWidth="1"/>
    <col min="8707" max="8707" width="19.28515625" style="50" customWidth="1"/>
    <col min="8708" max="8708" width="18" style="50" customWidth="1"/>
    <col min="8709" max="8959" width="9.140625" style="50"/>
    <col min="8960" max="8960" width="61.85546875" style="50" customWidth="1"/>
    <col min="8961" max="8961" width="19.5703125" style="50" customWidth="1"/>
    <col min="8962" max="8962" width="14.85546875" style="50" customWidth="1"/>
    <col min="8963" max="8963" width="19.28515625" style="50" customWidth="1"/>
    <col min="8964" max="8964" width="18" style="50" customWidth="1"/>
    <col min="8965" max="9215" width="9.140625" style="50"/>
    <col min="9216" max="9216" width="61.85546875" style="50" customWidth="1"/>
    <col min="9217" max="9217" width="19.5703125" style="50" customWidth="1"/>
    <col min="9218" max="9218" width="14.85546875" style="50" customWidth="1"/>
    <col min="9219" max="9219" width="19.28515625" style="50" customWidth="1"/>
    <col min="9220" max="9220" width="18" style="50" customWidth="1"/>
    <col min="9221" max="9471" width="9.140625" style="50"/>
    <col min="9472" max="9472" width="61.85546875" style="50" customWidth="1"/>
    <col min="9473" max="9473" width="19.5703125" style="50" customWidth="1"/>
    <col min="9474" max="9474" width="14.85546875" style="50" customWidth="1"/>
    <col min="9475" max="9475" width="19.28515625" style="50" customWidth="1"/>
    <col min="9476" max="9476" width="18" style="50" customWidth="1"/>
    <col min="9477" max="9727" width="9.140625" style="50"/>
    <col min="9728" max="9728" width="61.85546875" style="50" customWidth="1"/>
    <col min="9729" max="9729" width="19.5703125" style="50" customWidth="1"/>
    <col min="9730" max="9730" width="14.85546875" style="50" customWidth="1"/>
    <col min="9731" max="9731" width="19.28515625" style="50" customWidth="1"/>
    <col min="9732" max="9732" width="18" style="50" customWidth="1"/>
    <col min="9733" max="9983" width="9.140625" style="50"/>
    <col min="9984" max="9984" width="61.85546875" style="50" customWidth="1"/>
    <col min="9985" max="9985" width="19.5703125" style="50" customWidth="1"/>
    <col min="9986" max="9986" width="14.85546875" style="50" customWidth="1"/>
    <col min="9987" max="9987" width="19.28515625" style="50" customWidth="1"/>
    <col min="9988" max="9988" width="18" style="50" customWidth="1"/>
    <col min="9989" max="10239" width="9.140625" style="50"/>
    <col min="10240" max="10240" width="61.85546875" style="50" customWidth="1"/>
    <col min="10241" max="10241" width="19.5703125" style="50" customWidth="1"/>
    <col min="10242" max="10242" width="14.85546875" style="50" customWidth="1"/>
    <col min="10243" max="10243" width="19.28515625" style="50" customWidth="1"/>
    <col min="10244" max="10244" width="18" style="50" customWidth="1"/>
    <col min="10245" max="10495" width="9.140625" style="50"/>
    <col min="10496" max="10496" width="61.85546875" style="50" customWidth="1"/>
    <col min="10497" max="10497" width="19.5703125" style="50" customWidth="1"/>
    <col min="10498" max="10498" width="14.85546875" style="50" customWidth="1"/>
    <col min="10499" max="10499" width="19.28515625" style="50" customWidth="1"/>
    <col min="10500" max="10500" width="18" style="50" customWidth="1"/>
    <col min="10501" max="10751" width="9.140625" style="50"/>
    <col min="10752" max="10752" width="61.85546875" style="50" customWidth="1"/>
    <col min="10753" max="10753" width="19.5703125" style="50" customWidth="1"/>
    <col min="10754" max="10754" width="14.85546875" style="50" customWidth="1"/>
    <col min="10755" max="10755" width="19.28515625" style="50" customWidth="1"/>
    <col min="10756" max="10756" width="18" style="50" customWidth="1"/>
    <col min="10757" max="11007" width="9.140625" style="50"/>
    <col min="11008" max="11008" width="61.85546875" style="50" customWidth="1"/>
    <col min="11009" max="11009" width="19.5703125" style="50" customWidth="1"/>
    <col min="11010" max="11010" width="14.85546875" style="50" customWidth="1"/>
    <col min="11011" max="11011" width="19.28515625" style="50" customWidth="1"/>
    <col min="11012" max="11012" width="18" style="50" customWidth="1"/>
    <col min="11013" max="11263" width="9.140625" style="50"/>
    <col min="11264" max="11264" width="61.85546875" style="50" customWidth="1"/>
    <col min="11265" max="11265" width="19.5703125" style="50" customWidth="1"/>
    <col min="11266" max="11266" width="14.85546875" style="50" customWidth="1"/>
    <col min="11267" max="11267" width="19.28515625" style="50" customWidth="1"/>
    <col min="11268" max="11268" width="18" style="50" customWidth="1"/>
    <col min="11269" max="11519" width="9.140625" style="50"/>
    <col min="11520" max="11520" width="61.85546875" style="50" customWidth="1"/>
    <col min="11521" max="11521" width="19.5703125" style="50" customWidth="1"/>
    <col min="11522" max="11522" width="14.85546875" style="50" customWidth="1"/>
    <col min="11523" max="11523" width="19.28515625" style="50" customWidth="1"/>
    <col min="11524" max="11524" width="18" style="50" customWidth="1"/>
    <col min="11525" max="11775" width="9.140625" style="50"/>
    <col min="11776" max="11776" width="61.85546875" style="50" customWidth="1"/>
    <col min="11777" max="11777" width="19.5703125" style="50" customWidth="1"/>
    <col min="11778" max="11778" width="14.85546875" style="50" customWidth="1"/>
    <col min="11779" max="11779" width="19.28515625" style="50" customWidth="1"/>
    <col min="11780" max="11780" width="18" style="50" customWidth="1"/>
    <col min="11781" max="12031" width="9.140625" style="50"/>
    <col min="12032" max="12032" width="61.85546875" style="50" customWidth="1"/>
    <col min="12033" max="12033" width="19.5703125" style="50" customWidth="1"/>
    <col min="12034" max="12034" width="14.85546875" style="50" customWidth="1"/>
    <col min="12035" max="12035" width="19.28515625" style="50" customWidth="1"/>
    <col min="12036" max="12036" width="18" style="50" customWidth="1"/>
    <col min="12037" max="12287" width="9.140625" style="50"/>
    <col min="12288" max="12288" width="61.85546875" style="50" customWidth="1"/>
    <col min="12289" max="12289" width="19.5703125" style="50" customWidth="1"/>
    <col min="12290" max="12290" width="14.85546875" style="50" customWidth="1"/>
    <col min="12291" max="12291" width="19.28515625" style="50" customWidth="1"/>
    <col min="12292" max="12292" width="18" style="50" customWidth="1"/>
    <col min="12293" max="12543" width="9.140625" style="50"/>
    <col min="12544" max="12544" width="61.85546875" style="50" customWidth="1"/>
    <col min="12545" max="12545" width="19.5703125" style="50" customWidth="1"/>
    <col min="12546" max="12546" width="14.85546875" style="50" customWidth="1"/>
    <col min="12547" max="12547" width="19.28515625" style="50" customWidth="1"/>
    <col min="12548" max="12548" width="18" style="50" customWidth="1"/>
    <col min="12549" max="12799" width="9.140625" style="50"/>
    <col min="12800" max="12800" width="61.85546875" style="50" customWidth="1"/>
    <col min="12801" max="12801" width="19.5703125" style="50" customWidth="1"/>
    <col min="12802" max="12802" width="14.85546875" style="50" customWidth="1"/>
    <col min="12803" max="12803" width="19.28515625" style="50" customWidth="1"/>
    <col min="12804" max="12804" width="18" style="50" customWidth="1"/>
    <col min="12805" max="13055" width="9.140625" style="50"/>
    <col min="13056" max="13056" width="61.85546875" style="50" customWidth="1"/>
    <col min="13057" max="13057" width="19.5703125" style="50" customWidth="1"/>
    <col min="13058" max="13058" width="14.85546875" style="50" customWidth="1"/>
    <col min="13059" max="13059" width="19.28515625" style="50" customWidth="1"/>
    <col min="13060" max="13060" width="18" style="50" customWidth="1"/>
    <col min="13061" max="13311" width="9.140625" style="50"/>
    <col min="13312" max="13312" width="61.85546875" style="50" customWidth="1"/>
    <col min="13313" max="13313" width="19.5703125" style="50" customWidth="1"/>
    <col min="13314" max="13314" width="14.85546875" style="50" customWidth="1"/>
    <col min="13315" max="13315" width="19.28515625" style="50" customWidth="1"/>
    <col min="13316" max="13316" width="18" style="50" customWidth="1"/>
    <col min="13317" max="13567" width="9.140625" style="50"/>
    <col min="13568" max="13568" width="61.85546875" style="50" customWidth="1"/>
    <col min="13569" max="13569" width="19.5703125" style="50" customWidth="1"/>
    <col min="13570" max="13570" width="14.85546875" style="50" customWidth="1"/>
    <col min="13571" max="13571" width="19.28515625" style="50" customWidth="1"/>
    <col min="13572" max="13572" width="18" style="50" customWidth="1"/>
    <col min="13573" max="13823" width="9.140625" style="50"/>
    <col min="13824" max="13824" width="61.85546875" style="50" customWidth="1"/>
    <col min="13825" max="13825" width="19.5703125" style="50" customWidth="1"/>
    <col min="13826" max="13826" width="14.85546875" style="50" customWidth="1"/>
    <col min="13827" max="13827" width="19.28515625" style="50" customWidth="1"/>
    <col min="13828" max="13828" width="18" style="50" customWidth="1"/>
    <col min="13829" max="14079" width="9.140625" style="50"/>
    <col min="14080" max="14080" width="61.85546875" style="50" customWidth="1"/>
    <col min="14081" max="14081" width="19.5703125" style="50" customWidth="1"/>
    <col min="14082" max="14082" width="14.85546875" style="50" customWidth="1"/>
    <col min="14083" max="14083" width="19.28515625" style="50" customWidth="1"/>
    <col min="14084" max="14084" width="18" style="50" customWidth="1"/>
    <col min="14085" max="14335" width="9.140625" style="50"/>
    <col min="14336" max="14336" width="61.85546875" style="50" customWidth="1"/>
    <col min="14337" max="14337" width="19.5703125" style="50" customWidth="1"/>
    <col min="14338" max="14338" width="14.85546875" style="50" customWidth="1"/>
    <col min="14339" max="14339" width="19.28515625" style="50" customWidth="1"/>
    <col min="14340" max="14340" width="18" style="50" customWidth="1"/>
    <col min="14341" max="14591" width="9.140625" style="50"/>
    <col min="14592" max="14592" width="61.85546875" style="50" customWidth="1"/>
    <col min="14593" max="14593" width="19.5703125" style="50" customWidth="1"/>
    <col min="14594" max="14594" width="14.85546875" style="50" customWidth="1"/>
    <col min="14595" max="14595" width="19.28515625" style="50" customWidth="1"/>
    <col min="14596" max="14596" width="18" style="50" customWidth="1"/>
    <col min="14597" max="14847" width="9.140625" style="50"/>
    <col min="14848" max="14848" width="61.85546875" style="50" customWidth="1"/>
    <col min="14849" max="14849" width="19.5703125" style="50" customWidth="1"/>
    <col min="14850" max="14850" width="14.85546875" style="50" customWidth="1"/>
    <col min="14851" max="14851" width="19.28515625" style="50" customWidth="1"/>
    <col min="14852" max="14852" width="18" style="50" customWidth="1"/>
    <col min="14853" max="15103" width="9.140625" style="50"/>
    <col min="15104" max="15104" width="61.85546875" style="50" customWidth="1"/>
    <col min="15105" max="15105" width="19.5703125" style="50" customWidth="1"/>
    <col min="15106" max="15106" width="14.85546875" style="50" customWidth="1"/>
    <col min="15107" max="15107" width="19.28515625" style="50" customWidth="1"/>
    <col min="15108" max="15108" width="18" style="50" customWidth="1"/>
    <col min="15109" max="15359" width="9.140625" style="50"/>
    <col min="15360" max="15360" width="61.85546875" style="50" customWidth="1"/>
    <col min="15361" max="15361" width="19.5703125" style="50" customWidth="1"/>
    <col min="15362" max="15362" width="14.85546875" style="50" customWidth="1"/>
    <col min="15363" max="15363" width="19.28515625" style="50" customWidth="1"/>
    <col min="15364" max="15364" width="18" style="50" customWidth="1"/>
    <col min="15365" max="15615" width="9.140625" style="50"/>
    <col min="15616" max="15616" width="61.85546875" style="50" customWidth="1"/>
    <col min="15617" max="15617" width="19.5703125" style="50" customWidth="1"/>
    <col min="15618" max="15618" width="14.85546875" style="50" customWidth="1"/>
    <col min="15619" max="15619" width="19.28515625" style="50" customWidth="1"/>
    <col min="15620" max="15620" width="18" style="50" customWidth="1"/>
    <col min="15621" max="15871" width="9.140625" style="50"/>
    <col min="15872" max="15872" width="61.85546875" style="50" customWidth="1"/>
    <col min="15873" max="15873" width="19.5703125" style="50" customWidth="1"/>
    <col min="15874" max="15874" width="14.85546875" style="50" customWidth="1"/>
    <col min="15875" max="15875" width="19.28515625" style="50" customWidth="1"/>
    <col min="15876" max="15876" width="18" style="50" customWidth="1"/>
    <col min="15877" max="16127" width="9.140625" style="50"/>
    <col min="16128" max="16128" width="61.85546875" style="50" customWidth="1"/>
    <col min="16129" max="16129" width="19.5703125" style="50" customWidth="1"/>
    <col min="16130" max="16130" width="14.85546875" style="50" customWidth="1"/>
    <col min="16131" max="16131" width="19.28515625" style="50" customWidth="1"/>
    <col min="16132" max="16132" width="18" style="50" customWidth="1"/>
    <col min="16133" max="16384" width="9.140625" style="50"/>
  </cols>
  <sheetData>
    <row r="3" spans="1:5" s="45" customFormat="1" ht="53.25" customHeight="1">
      <c r="B3" s="46" t="s">
        <v>130</v>
      </c>
      <c r="C3" s="46" t="s">
        <v>145</v>
      </c>
      <c r="D3" s="46" t="s">
        <v>124</v>
      </c>
      <c r="E3" s="46" t="s">
        <v>131</v>
      </c>
    </row>
    <row r="4" spans="1:5">
      <c r="A4" s="47" t="s">
        <v>177</v>
      </c>
      <c r="B4" s="48">
        <v>480974</v>
      </c>
      <c r="C4" s="48">
        <f>'Acq  Fund'!H19</f>
        <v>111068.18</v>
      </c>
      <c r="D4" s="48">
        <f>'Water Royalty 2016'!H8</f>
        <v>-12506.239999999991</v>
      </c>
      <c r="E4" s="49">
        <f>B4-C4-D4</f>
        <v>382412.06</v>
      </c>
    </row>
    <row r="5" spans="1:5" ht="25.5">
      <c r="A5" s="51" t="s">
        <v>192</v>
      </c>
      <c r="B5" s="48">
        <f>'2015 projection'!I88+'2015 projection'!I63-26930-'2015 projection'!I73</f>
        <v>72938.579999999987</v>
      </c>
      <c r="C5" s="48">
        <f>'Acq  Fund'!I5-'Acq  Fund'!I17</f>
        <v>3545</v>
      </c>
      <c r="D5" s="48">
        <f>'Water Royalty 2016'!I4-'Water Royalty 2016'!I6</f>
        <v>12860</v>
      </c>
      <c r="E5" s="49">
        <f>B5-C5-D5</f>
        <v>56533.579999999987</v>
      </c>
    </row>
    <row r="6" spans="1:5">
      <c r="A6" s="47" t="s">
        <v>148</v>
      </c>
      <c r="B6" s="48">
        <f>B4+B5</f>
        <v>553912.57999999996</v>
      </c>
      <c r="C6" s="48">
        <f>'Acq  Fund'!H19</f>
        <v>111068.18</v>
      </c>
      <c r="D6" s="48">
        <f>D4+D5</f>
        <v>353.76000000000931</v>
      </c>
      <c r="E6" s="49">
        <f>B6-C6-D6</f>
        <v>442490.63999999996</v>
      </c>
    </row>
    <row r="7" spans="1:5" ht="25.5">
      <c r="A7" s="51" t="s">
        <v>191</v>
      </c>
      <c r="B7" s="48">
        <f>'2016 Budget'!I95+'2016 Budget'!I67-'2016 Budget'!I76-170000</f>
        <v>-14282.746180814109</v>
      </c>
      <c r="C7" s="48">
        <f>'Acq  Fund'!I5-'Acq  Fund'!I17</f>
        <v>3545</v>
      </c>
      <c r="D7" s="48">
        <f>'Water Royalty 2016'!J4-'Water Royalty 2016'!J6</f>
        <v>13115</v>
      </c>
      <c r="E7" s="49">
        <f>B7-C7-D7</f>
        <v>-30942.746180814109</v>
      </c>
    </row>
    <row r="8" spans="1:5">
      <c r="A8" s="47" t="s">
        <v>178</v>
      </c>
      <c r="B8" s="48">
        <f>B6+B7</f>
        <v>539629.83381918585</v>
      </c>
      <c r="C8" s="48">
        <f>'Acq  Fund'!I19</f>
        <v>114613.18</v>
      </c>
      <c r="D8" s="48">
        <f>D6+D7</f>
        <v>13468.760000000009</v>
      </c>
      <c r="E8" s="49">
        <f>B8-C8-D8</f>
        <v>411547.89381918585</v>
      </c>
    </row>
    <row r="9" spans="1:5">
      <c r="A9" s="47"/>
      <c r="B9" s="48"/>
    </row>
    <row r="10" spans="1:5">
      <c r="A10" s="47"/>
      <c r="B10" s="48"/>
    </row>
    <row r="11" spans="1:5">
      <c r="A11" s="52"/>
      <c r="B11" s="53"/>
      <c r="C11" s="54" t="s">
        <v>132</v>
      </c>
    </row>
    <row r="12" spans="1:5">
      <c r="A12" s="52"/>
      <c r="B12" s="55"/>
      <c r="C12" s="54"/>
    </row>
    <row r="13" spans="1:5">
      <c r="A13" s="56"/>
    </row>
    <row r="14" spans="1:5" ht="15.75">
      <c r="A14" s="57"/>
    </row>
    <row r="15" spans="1:5" ht="15.75">
      <c r="A15" s="58"/>
      <c r="B15" s="56" t="s">
        <v>156</v>
      </c>
    </row>
    <row r="16" spans="1:5">
      <c r="A16" s="56"/>
    </row>
  </sheetData>
  <pageMargins left="0.7" right="0.7" top="0.75" bottom="0.75" header="0.3" footer="0.3"/>
  <pageSetup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workbookViewId="0">
      <pane xSplit="6" ySplit="1" topLeftCell="G65" activePane="bottomRight" state="frozenSplit"/>
      <selection pane="topRight" activeCell="G1" sqref="G1"/>
      <selection pane="bottomLeft" activeCell="A2" sqref="A2"/>
      <selection pane="bottomRight" activeCell="K59" sqref="K59"/>
    </sheetView>
  </sheetViews>
  <sheetFormatPr defaultRowHeight="15"/>
  <cols>
    <col min="1" max="5" width="3" style="3" customWidth="1"/>
    <col min="6" max="6" width="32.7109375" style="3" customWidth="1"/>
    <col min="7" max="7" width="13.85546875" style="89" customWidth="1"/>
    <col min="8" max="8" width="9.5703125" style="3" customWidth="1"/>
    <col min="9" max="9" width="10.85546875" style="26" customWidth="1"/>
    <col min="10" max="10" width="24.5703125" customWidth="1"/>
  </cols>
  <sheetData>
    <row r="1" spans="1:9" s="5" customFormat="1" ht="42.75" customHeight="1">
      <c r="A1" s="4"/>
      <c r="B1" s="4"/>
      <c r="C1" s="4"/>
      <c r="D1" s="4"/>
      <c r="E1" s="4"/>
      <c r="F1" s="4"/>
      <c r="G1" s="4" t="s">
        <v>193</v>
      </c>
      <c r="H1" s="4" t="s">
        <v>165</v>
      </c>
      <c r="I1" s="100" t="s">
        <v>166</v>
      </c>
    </row>
    <row r="2" spans="1:9">
      <c r="A2" s="1"/>
      <c r="B2" s="1" t="s">
        <v>0</v>
      </c>
      <c r="C2" s="1"/>
      <c r="D2" s="1"/>
      <c r="E2" s="1"/>
      <c r="F2" s="1"/>
      <c r="H2" s="1"/>
    </row>
    <row r="3" spans="1:9">
      <c r="A3" s="1"/>
      <c r="B3" s="1"/>
      <c r="C3" s="1" t="s">
        <v>1</v>
      </c>
      <c r="D3" s="1"/>
      <c r="E3" s="1"/>
      <c r="F3" s="1"/>
      <c r="H3" s="1"/>
    </row>
    <row r="4" spans="1:9">
      <c r="A4" s="1"/>
      <c r="B4" s="1"/>
      <c r="C4" s="1"/>
      <c r="D4" s="1" t="s">
        <v>134</v>
      </c>
      <c r="E4" s="1"/>
      <c r="F4" s="1"/>
      <c r="G4" s="89">
        <v>0</v>
      </c>
      <c r="H4" s="67">
        <v>0</v>
      </c>
      <c r="I4" s="65">
        <f t="shared" ref="I4:I10" si="0">SUM(G4:H4)</f>
        <v>0</v>
      </c>
    </row>
    <row r="5" spans="1:9">
      <c r="A5" s="1"/>
      <c r="B5" s="1"/>
      <c r="C5" s="1"/>
      <c r="D5" s="1" t="s">
        <v>2</v>
      </c>
      <c r="E5" s="1"/>
      <c r="F5" s="1"/>
      <c r="G5" s="89">
        <v>0</v>
      </c>
      <c r="H5" s="67">
        <v>0</v>
      </c>
      <c r="I5" s="65">
        <f t="shared" si="0"/>
        <v>0</v>
      </c>
    </row>
    <row r="6" spans="1:9">
      <c r="A6" s="1"/>
      <c r="B6" s="1"/>
      <c r="C6" s="1"/>
      <c r="D6" s="1" t="s">
        <v>3</v>
      </c>
      <c r="E6" s="1"/>
      <c r="F6" s="1"/>
      <c r="H6" s="67"/>
      <c r="I6" s="65">
        <f t="shared" si="0"/>
        <v>0</v>
      </c>
    </row>
    <row r="7" spans="1:9">
      <c r="A7" s="1"/>
      <c r="B7" s="1"/>
      <c r="C7" s="1"/>
      <c r="D7" s="1"/>
      <c r="E7" s="1" t="s">
        <v>4</v>
      </c>
      <c r="F7" s="1"/>
      <c r="H7" s="67"/>
      <c r="I7" s="65">
        <f t="shared" si="0"/>
        <v>0</v>
      </c>
    </row>
    <row r="8" spans="1:9">
      <c r="A8" s="1"/>
      <c r="B8" s="1"/>
      <c r="C8" s="1"/>
      <c r="D8" s="1"/>
      <c r="E8" s="1"/>
      <c r="F8" s="1" t="s">
        <v>5</v>
      </c>
      <c r="G8" s="89">
        <v>154827</v>
      </c>
      <c r="H8" s="89">
        <v>14135</v>
      </c>
      <c r="I8" s="65">
        <f t="shared" si="0"/>
        <v>168962</v>
      </c>
    </row>
    <row r="9" spans="1:9">
      <c r="A9" s="1"/>
      <c r="B9" s="1"/>
      <c r="C9" s="1"/>
      <c r="D9" s="1"/>
      <c r="E9" s="1"/>
      <c r="F9" s="1" t="s">
        <v>6</v>
      </c>
      <c r="G9" s="89">
        <v>120364</v>
      </c>
      <c r="H9" s="89">
        <v>7300</v>
      </c>
      <c r="I9" s="65">
        <f t="shared" si="0"/>
        <v>127664</v>
      </c>
    </row>
    <row r="10" spans="1:9">
      <c r="A10" s="1"/>
      <c r="B10" s="1"/>
      <c r="C10" s="1"/>
      <c r="D10" s="1"/>
      <c r="E10" s="1"/>
      <c r="F10" s="1" t="s">
        <v>7</v>
      </c>
      <c r="G10" s="89">
        <v>16189</v>
      </c>
      <c r="H10" s="89"/>
      <c r="I10" s="65">
        <f t="shared" si="0"/>
        <v>16189</v>
      </c>
    </row>
    <row r="11" spans="1:9">
      <c r="A11" s="1"/>
      <c r="B11" s="1"/>
      <c r="C11" s="1"/>
      <c r="D11" s="1"/>
      <c r="E11" s="1" t="s">
        <v>8</v>
      </c>
      <c r="F11" s="1"/>
      <c r="G11" s="65">
        <f t="shared" ref="G11" si="1">SUM(G8:G10)</f>
        <v>291380</v>
      </c>
      <c r="H11" s="65">
        <f t="shared" ref="H11" si="2">SUM(H8:H10)</f>
        <v>21435</v>
      </c>
      <c r="I11" s="65">
        <f>SUM(I8:I10)</f>
        <v>312815</v>
      </c>
    </row>
    <row r="12" spans="1:9" ht="30" customHeight="1">
      <c r="A12" s="1"/>
      <c r="B12" s="1"/>
      <c r="C12" s="1"/>
      <c r="D12" s="1"/>
      <c r="E12" s="1" t="s">
        <v>9</v>
      </c>
      <c r="F12" s="1"/>
      <c r="H12" s="67"/>
      <c r="I12" s="65"/>
    </row>
    <row r="13" spans="1:9">
      <c r="A13" s="1"/>
      <c r="B13" s="1"/>
      <c r="C13" s="1"/>
      <c r="D13" s="1"/>
      <c r="E13" s="1"/>
      <c r="F13" s="1" t="s">
        <v>10</v>
      </c>
      <c r="G13" s="89">
        <v>51397</v>
      </c>
      <c r="H13" s="89">
        <v>4672</v>
      </c>
      <c r="I13" s="65">
        <f>SUM(G13:H13)</f>
        <v>56069</v>
      </c>
    </row>
    <row r="14" spans="1:9">
      <c r="A14" s="1"/>
      <c r="B14" s="1"/>
      <c r="C14" s="1"/>
      <c r="D14" s="1"/>
      <c r="E14" s="1"/>
      <c r="F14" s="1" t="s">
        <v>11</v>
      </c>
      <c r="G14" s="89">
        <v>47045</v>
      </c>
      <c r="H14" s="89">
        <v>3800</v>
      </c>
      <c r="I14" s="65">
        <f>SUM(G14:H14)</f>
        <v>50845</v>
      </c>
    </row>
    <row r="15" spans="1:9">
      <c r="A15" s="1"/>
      <c r="B15" s="1"/>
      <c r="C15" s="1"/>
      <c r="D15" s="1"/>
      <c r="E15" s="1"/>
      <c r="F15" s="1" t="s">
        <v>12</v>
      </c>
      <c r="G15" s="89">
        <v>0</v>
      </c>
      <c r="H15" s="67">
        <v>0</v>
      </c>
      <c r="I15" s="65">
        <f>SUM(G15:H15)</f>
        <v>0</v>
      </c>
    </row>
    <row r="16" spans="1:9" ht="15.75" thickBot="1">
      <c r="A16" s="1"/>
      <c r="B16" s="1"/>
      <c r="C16" s="1"/>
      <c r="D16" s="1"/>
      <c r="E16" s="1" t="s">
        <v>13</v>
      </c>
      <c r="F16" s="1"/>
      <c r="G16" s="66">
        <f>SUM(G13:G15)</f>
        <v>98442</v>
      </c>
      <c r="H16" s="66">
        <f t="shared" ref="H16" si="3">SUM(H13:H15)</f>
        <v>8472</v>
      </c>
      <c r="I16" s="66">
        <f>SUM(I13:I15)</f>
        <v>106914</v>
      </c>
    </row>
    <row r="17" spans="1:10" ht="22.5" customHeight="1">
      <c r="A17" s="1"/>
      <c r="B17" s="1"/>
      <c r="C17" s="1"/>
      <c r="D17" s="1" t="s">
        <v>14</v>
      </c>
      <c r="E17" s="1"/>
      <c r="F17" s="1"/>
      <c r="G17" s="67">
        <f t="shared" ref="G17:H17" si="4">G11+G16</f>
        <v>389822</v>
      </c>
      <c r="H17" s="67">
        <f t="shared" si="4"/>
        <v>29907</v>
      </c>
      <c r="I17" s="67">
        <f>I11+I16</f>
        <v>419729</v>
      </c>
    </row>
    <row r="18" spans="1:10" ht="30" customHeight="1">
      <c r="A18" s="1"/>
      <c r="B18" s="1"/>
      <c r="C18" s="1"/>
      <c r="D18" s="1" t="s">
        <v>15</v>
      </c>
      <c r="E18" s="1"/>
      <c r="F18" s="1"/>
      <c r="G18" s="89">
        <v>7146</v>
      </c>
      <c r="H18" s="67">
        <v>400</v>
      </c>
      <c r="I18" s="65">
        <f t="shared" ref="I18:I23" si="5">SUM(G18:H18)</f>
        <v>7546</v>
      </c>
    </row>
    <row r="19" spans="1:10">
      <c r="A19" s="1"/>
      <c r="B19" s="1"/>
      <c r="C19" s="1"/>
      <c r="D19" s="1" t="s">
        <v>16</v>
      </c>
      <c r="E19" s="1"/>
      <c r="F19" s="1"/>
      <c r="G19" s="89">
        <v>79.239999999999995</v>
      </c>
      <c r="H19" s="67">
        <v>8</v>
      </c>
      <c r="I19" s="65">
        <f t="shared" si="5"/>
        <v>87.24</v>
      </c>
    </row>
    <row r="20" spans="1:10">
      <c r="A20" s="1"/>
      <c r="B20" s="1"/>
      <c r="C20" s="1"/>
      <c r="D20" s="1" t="s">
        <v>17</v>
      </c>
      <c r="E20" s="1"/>
      <c r="F20" s="1"/>
      <c r="G20" s="89">
        <v>3903</v>
      </c>
      <c r="H20" s="67">
        <v>200</v>
      </c>
      <c r="I20" s="65">
        <f t="shared" si="5"/>
        <v>4103</v>
      </c>
    </row>
    <row r="21" spans="1:10" s="69" customFormat="1">
      <c r="A21" s="70"/>
      <c r="B21" s="70"/>
      <c r="C21" s="70"/>
      <c r="D21" s="70" t="s">
        <v>146</v>
      </c>
      <c r="E21" s="70"/>
      <c r="F21" s="70"/>
      <c r="G21" s="89">
        <v>0</v>
      </c>
      <c r="H21" s="67">
        <v>0</v>
      </c>
      <c r="I21" s="65">
        <f t="shared" si="5"/>
        <v>0</v>
      </c>
    </row>
    <row r="22" spans="1:10">
      <c r="A22" s="1"/>
      <c r="B22" s="1"/>
      <c r="C22" s="1"/>
      <c r="D22" s="1" t="s">
        <v>18</v>
      </c>
      <c r="E22" s="1"/>
      <c r="F22" s="1"/>
      <c r="G22" s="89">
        <v>2700</v>
      </c>
      <c r="H22" s="67">
        <v>0</v>
      </c>
      <c r="I22" s="65">
        <f t="shared" si="5"/>
        <v>2700</v>
      </c>
    </row>
    <row r="23" spans="1:10" s="90" customFormat="1">
      <c r="A23" s="91"/>
      <c r="B23" s="91"/>
      <c r="C23" s="91"/>
      <c r="D23" s="91" t="s">
        <v>144</v>
      </c>
      <c r="E23" s="91"/>
      <c r="F23" s="91"/>
      <c r="G23" s="111"/>
      <c r="H23" s="110">
        <v>77000</v>
      </c>
      <c r="I23" s="106">
        <f t="shared" si="5"/>
        <v>77000</v>
      </c>
    </row>
    <row r="24" spans="1:10" ht="15.75" thickBot="1">
      <c r="A24" s="1"/>
      <c r="B24" s="1"/>
      <c r="C24" s="1" t="s">
        <v>19</v>
      </c>
      <c r="D24" s="1"/>
      <c r="E24" s="1"/>
      <c r="F24" s="1"/>
      <c r="G24" s="112">
        <f>SUM(G17:G22)+G4+G5</f>
        <v>403650.24</v>
      </c>
      <c r="H24" s="112">
        <f>SUM(H17:H23)+H4+H5</f>
        <v>107515</v>
      </c>
      <c r="I24" s="112">
        <f>SUM(I17:I23)+I4+I5</f>
        <v>511165.24</v>
      </c>
      <c r="J24" s="26"/>
    </row>
    <row r="25" spans="1:10" ht="30" customHeight="1">
      <c r="A25" s="1"/>
      <c r="B25" s="1"/>
      <c r="C25" s="1" t="s">
        <v>20</v>
      </c>
      <c r="D25" s="1"/>
      <c r="E25" s="1"/>
      <c r="F25" s="1"/>
      <c r="H25" s="67"/>
      <c r="I25" s="65"/>
    </row>
    <row r="26" spans="1:10">
      <c r="A26" s="1"/>
      <c r="B26" s="1"/>
      <c r="C26" s="1"/>
      <c r="D26" s="1" t="s">
        <v>21</v>
      </c>
      <c r="E26" s="1"/>
      <c r="F26" s="1"/>
      <c r="H26" s="67"/>
      <c r="I26" s="65"/>
    </row>
    <row r="27" spans="1:10">
      <c r="A27" s="1"/>
      <c r="B27" s="1"/>
      <c r="C27" s="1"/>
      <c r="D27" s="1"/>
      <c r="E27" s="1" t="s">
        <v>22</v>
      </c>
      <c r="F27" s="1"/>
      <c r="G27" s="89">
        <v>72100</v>
      </c>
      <c r="H27" s="89">
        <v>6800</v>
      </c>
      <c r="I27" s="65">
        <f t="shared" ref="I27:I43" si="6">SUM(G27:H27)</f>
        <v>78900</v>
      </c>
    </row>
    <row r="28" spans="1:10">
      <c r="A28" s="1"/>
      <c r="B28" s="1"/>
      <c r="C28" s="1"/>
      <c r="D28" s="1"/>
      <c r="E28" s="1" t="s">
        <v>23</v>
      </c>
      <c r="F28" s="1"/>
      <c r="G28" s="89">
        <v>82202</v>
      </c>
      <c r="H28" s="89">
        <v>8000</v>
      </c>
      <c r="I28" s="65">
        <f t="shared" si="6"/>
        <v>90202</v>
      </c>
    </row>
    <row r="29" spans="1:10">
      <c r="A29" s="1"/>
      <c r="B29" s="1"/>
      <c r="C29" s="1"/>
      <c r="D29" s="1"/>
      <c r="E29" s="1" t="s">
        <v>24</v>
      </c>
      <c r="F29" s="1"/>
      <c r="G29" s="89">
        <v>12272</v>
      </c>
      <c r="H29" s="89">
        <v>1170</v>
      </c>
      <c r="I29" s="65">
        <f t="shared" si="6"/>
        <v>13442</v>
      </c>
    </row>
    <row r="30" spans="1:10">
      <c r="A30" s="1"/>
      <c r="B30" s="1"/>
      <c r="C30" s="1"/>
      <c r="D30" s="1"/>
      <c r="E30" s="1" t="s">
        <v>25</v>
      </c>
      <c r="F30" s="1"/>
      <c r="G30" s="89">
        <v>18956</v>
      </c>
      <c r="H30" s="89">
        <v>1714</v>
      </c>
      <c r="I30" s="65">
        <f t="shared" si="6"/>
        <v>20670</v>
      </c>
    </row>
    <row r="31" spans="1:10">
      <c r="A31" s="1"/>
      <c r="B31" s="1"/>
      <c r="C31" s="1"/>
      <c r="D31" s="1"/>
      <c r="E31" s="1" t="s">
        <v>26</v>
      </c>
      <c r="F31" s="1"/>
      <c r="G31" s="89">
        <v>0</v>
      </c>
      <c r="H31" s="67">
        <v>0</v>
      </c>
      <c r="I31" s="65">
        <f t="shared" si="6"/>
        <v>0</v>
      </c>
    </row>
    <row r="32" spans="1:10">
      <c r="A32" s="1"/>
      <c r="B32" s="1"/>
      <c r="C32" s="1"/>
      <c r="D32" s="1"/>
      <c r="E32" s="1" t="s">
        <v>27</v>
      </c>
      <c r="F32" s="1"/>
      <c r="G32" s="89">
        <v>14936</v>
      </c>
      <c r="H32" s="89">
        <v>900</v>
      </c>
      <c r="I32" s="65">
        <f t="shared" si="6"/>
        <v>15836</v>
      </c>
    </row>
    <row r="33" spans="1:10">
      <c r="A33" s="1"/>
      <c r="B33" s="1"/>
      <c r="C33" s="1"/>
      <c r="D33" s="1"/>
      <c r="E33" s="1" t="s">
        <v>28</v>
      </c>
      <c r="F33" s="1"/>
      <c r="G33" s="89">
        <v>1897</v>
      </c>
      <c r="H33" s="89">
        <v>1000</v>
      </c>
      <c r="I33" s="65">
        <f t="shared" si="6"/>
        <v>2897</v>
      </c>
    </row>
    <row r="34" spans="1:10">
      <c r="A34" s="1"/>
      <c r="B34" s="1"/>
      <c r="C34" s="1"/>
      <c r="D34" s="1"/>
      <c r="E34" s="1" t="s">
        <v>29</v>
      </c>
      <c r="F34" s="1"/>
      <c r="G34" s="89">
        <v>31914</v>
      </c>
      <c r="H34" s="89">
        <v>2750</v>
      </c>
      <c r="I34" s="65">
        <f t="shared" si="6"/>
        <v>34664</v>
      </c>
    </row>
    <row r="35" spans="1:10">
      <c r="A35" s="1"/>
      <c r="B35" s="1"/>
      <c r="C35" s="1"/>
      <c r="D35" s="1"/>
      <c r="E35" s="1" t="s">
        <v>30</v>
      </c>
      <c r="F35" s="1"/>
      <c r="G35" s="89">
        <v>278</v>
      </c>
      <c r="H35" s="89">
        <v>1000</v>
      </c>
      <c r="I35" s="65">
        <f t="shared" si="6"/>
        <v>1278</v>
      </c>
    </row>
    <row r="36" spans="1:10">
      <c r="A36" s="1"/>
      <c r="B36" s="1"/>
      <c r="C36" s="1"/>
      <c r="D36" s="1"/>
      <c r="E36" s="1" t="s">
        <v>31</v>
      </c>
      <c r="F36" s="1"/>
      <c r="G36" s="89">
        <v>975</v>
      </c>
      <c r="H36" s="67">
        <v>600</v>
      </c>
      <c r="I36" s="65">
        <f t="shared" si="6"/>
        <v>1575</v>
      </c>
    </row>
    <row r="37" spans="1:10">
      <c r="A37" s="1"/>
      <c r="B37" s="1"/>
      <c r="C37" s="1"/>
      <c r="D37" s="1"/>
      <c r="E37" s="1" t="s">
        <v>32</v>
      </c>
      <c r="F37" s="1"/>
      <c r="G37" s="89">
        <v>593</v>
      </c>
      <c r="H37" s="67">
        <v>35</v>
      </c>
      <c r="I37" s="65">
        <f t="shared" si="6"/>
        <v>628</v>
      </c>
    </row>
    <row r="38" spans="1:10">
      <c r="A38" s="1"/>
      <c r="B38" s="1"/>
      <c r="C38" s="1"/>
      <c r="D38" s="1"/>
      <c r="E38" s="1" t="s">
        <v>33</v>
      </c>
      <c r="F38" s="1"/>
      <c r="G38" s="89">
        <v>991</v>
      </c>
      <c r="H38" s="67">
        <v>100</v>
      </c>
      <c r="I38" s="65">
        <f t="shared" si="6"/>
        <v>1091</v>
      </c>
    </row>
    <row r="39" spans="1:10">
      <c r="A39" s="1"/>
      <c r="B39" s="1"/>
      <c r="C39" s="1"/>
      <c r="D39" s="1"/>
      <c r="E39" s="1" t="s">
        <v>34</v>
      </c>
      <c r="F39" s="1"/>
      <c r="G39" s="89">
        <v>35</v>
      </c>
      <c r="H39" s="67">
        <v>150</v>
      </c>
      <c r="I39" s="65">
        <f t="shared" si="6"/>
        <v>185</v>
      </c>
    </row>
    <row r="40" spans="1:10">
      <c r="A40" s="1"/>
      <c r="B40" s="1"/>
      <c r="C40" s="1"/>
      <c r="D40" s="1"/>
      <c r="E40" s="1" t="s">
        <v>35</v>
      </c>
      <c r="F40" s="1"/>
      <c r="G40" s="89">
        <v>16012</v>
      </c>
      <c r="H40" s="67">
        <v>0</v>
      </c>
      <c r="I40" s="65">
        <f t="shared" si="6"/>
        <v>16012</v>
      </c>
    </row>
    <row r="41" spans="1:10">
      <c r="A41" s="1"/>
      <c r="B41" s="1"/>
      <c r="C41" s="1"/>
      <c r="D41" s="1"/>
      <c r="E41" s="1" t="s">
        <v>36</v>
      </c>
      <c r="F41" s="1"/>
      <c r="G41" s="89">
        <v>3729</v>
      </c>
      <c r="H41" s="67">
        <v>523</v>
      </c>
      <c r="I41" s="65">
        <f t="shared" si="6"/>
        <v>4252</v>
      </c>
    </row>
    <row r="42" spans="1:10">
      <c r="A42" s="1"/>
      <c r="B42" s="1"/>
      <c r="C42" s="1"/>
      <c r="D42" s="1"/>
      <c r="E42" s="1" t="s">
        <v>37</v>
      </c>
      <c r="F42" s="1"/>
      <c r="G42" s="89">
        <v>865</v>
      </c>
      <c r="H42" s="67">
        <v>0</v>
      </c>
      <c r="I42" s="65">
        <f t="shared" si="6"/>
        <v>865</v>
      </c>
    </row>
    <row r="43" spans="1:10">
      <c r="A43" s="1"/>
      <c r="B43" s="1"/>
      <c r="C43" s="1"/>
      <c r="D43" s="1"/>
      <c r="E43" s="1" t="s">
        <v>38</v>
      </c>
      <c r="F43" s="1"/>
      <c r="G43" s="89">
        <v>5280</v>
      </c>
      <c r="H43" s="67">
        <v>250</v>
      </c>
      <c r="I43" s="65">
        <f t="shared" si="6"/>
        <v>5530</v>
      </c>
    </row>
    <row r="44" spans="1:10">
      <c r="A44" s="1"/>
      <c r="B44" s="1"/>
      <c r="C44" s="1"/>
      <c r="D44" s="1"/>
      <c r="E44" s="1" t="s">
        <v>39</v>
      </c>
      <c r="F44" s="1"/>
      <c r="H44" s="67"/>
      <c r="I44" s="65">
        <f t="shared" ref="I44" si="7">SUM(G44:H44)</f>
        <v>0</v>
      </c>
    </row>
    <row r="45" spans="1:10">
      <c r="A45" s="1"/>
      <c r="B45" s="1"/>
      <c r="C45" s="1"/>
      <c r="D45" s="1"/>
      <c r="E45" s="1"/>
      <c r="F45" s="1" t="s">
        <v>40</v>
      </c>
      <c r="G45" s="89">
        <v>395</v>
      </c>
      <c r="H45" s="67">
        <v>0</v>
      </c>
      <c r="I45" s="65">
        <f>SUM(G45:H45)</f>
        <v>395</v>
      </c>
    </row>
    <row r="46" spans="1:10">
      <c r="A46" s="1"/>
      <c r="B46" s="1"/>
      <c r="C46" s="1"/>
      <c r="D46" s="1"/>
      <c r="E46" s="1"/>
      <c r="F46" s="1" t="s">
        <v>41</v>
      </c>
      <c r="G46" s="89">
        <v>496</v>
      </c>
      <c r="H46" s="67">
        <v>87</v>
      </c>
      <c r="I46" s="65">
        <f>SUM(G46:H46)</f>
        <v>583</v>
      </c>
    </row>
    <row r="47" spans="1:10">
      <c r="A47" s="1"/>
      <c r="B47" s="1"/>
      <c r="C47" s="1"/>
      <c r="D47" s="1"/>
      <c r="E47" s="1"/>
      <c r="F47" s="1" t="s">
        <v>42</v>
      </c>
      <c r="G47" s="89">
        <v>3299</v>
      </c>
      <c r="H47" s="67">
        <v>300</v>
      </c>
      <c r="I47" s="65">
        <f>SUM(G47:H47)</f>
        <v>3599</v>
      </c>
      <c r="J47" s="90" t="s">
        <v>132</v>
      </c>
    </row>
    <row r="48" spans="1:10">
      <c r="A48" s="1"/>
      <c r="B48" s="1"/>
      <c r="C48" s="1"/>
      <c r="D48" s="1"/>
      <c r="E48" s="1"/>
      <c r="F48" s="1" t="s">
        <v>43</v>
      </c>
      <c r="G48" s="89">
        <v>30261</v>
      </c>
      <c r="H48" s="67">
        <v>2500</v>
      </c>
      <c r="I48" s="65">
        <f>SUM(G48:H48)</f>
        <v>32761</v>
      </c>
    </row>
    <row r="49" spans="1:10">
      <c r="A49" s="1"/>
      <c r="B49" s="1"/>
      <c r="C49" s="1"/>
      <c r="D49" s="1"/>
      <c r="E49" s="1"/>
      <c r="F49" s="1" t="s">
        <v>44</v>
      </c>
      <c r="G49" s="107">
        <v>452</v>
      </c>
      <c r="H49" s="108">
        <v>100</v>
      </c>
      <c r="I49" s="109">
        <f>SUM(G49:H49)</f>
        <v>552</v>
      </c>
    </row>
    <row r="50" spans="1:10">
      <c r="A50" s="1"/>
      <c r="B50" s="1"/>
      <c r="C50" s="1"/>
      <c r="D50" s="1"/>
      <c r="E50" s="1" t="s">
        <v>45</v>
      </c>
      <c r="F50" s="1"/>
      <c r="G50" s="106">
        <f t="shared" ref="G50:I50" si="8">SUM(G45:G49)</f>
        <v>34903</v>
      </c>
      <c r="H50" s="106">
        <f t="shared" si="8"/>
        <v>2987</v>
      </c>
      <c r="I50" s="106">
        <f t="shared" si="8"/>
        <v>37890</v>
      </c>
    </row>
    <row r="51" spans="1:10" ht="16.5" customHeight="1">
      <c r="A51" s="1"/>
      <c r="B51" s="1"/>
      <c r="C51" s="1"/>
      <c r="D51" s="1"/>
      <c r="E51" s="1" t="s">
        <v>46</v>
      </c>
      <c r="F51" s="1"/>
      <c r="G51" s="89">
        <v>4668</v>
      </c>
      <c r="H51" s="67">
        <v>400</v>
      </c>
      <c r="I51" s="65">
        <f t="shared" ref="I51:I58" si="9">SUM(G51:H51)</f>
        <v>5068</v>
      </c>
    </row>
    <row r="52" spans="1:10">
      <c r="A52" s="1"/>
      <c r="B52" s="1"/>
      <c r="C52" s="1"/>
      <c r="D52" s="1"/>
      <c r="E52" s="1" t="s">
        <v>47</v>
      </c>
      <c r="F52" s="1"/>
      <c r="G52" s="89">
        <v>24854</v>
      </c>
      <c r="H52" s="67">
        <v>1000</v>
      </c>
      <c r="I52" s="65">
        <f t="shared" si="9"/>
        <v>25854</v>
      </c>
    </row>
    <row r="53" spans="1:10">
      <c r="A53" s="1"/>
      <c r="B53" s="1"/>
      <c r="C53" s="1"/>
      <c r="D53" s="1"/>
      <c r="E53" s="70" t="s">
        <v>48</v>
      </c>
      <c r="F53" s="1"/>
      <c r="G53" s="89">
        <v>157.5</v>
      </c>
      <c r="H53" s="67">
        <v>650</v>
      </c>
      <c r="I53" s="65">
        <f t="shared" si="9"/>
        <v>807.5</v>
      </c>
    </row>
    <row r="54" spans="1:10">
      <c r="A54" s="1"/>
      <c r="B54" s="1"/>
      <c r="C54" s="1"/>
      <c r="D54" s="1"/>
      <c r="E54" s="1" t="s">
        <v>49</v>
      </c>
      <c r="F54" s="1"/>
      <c r="G54" s="89">
        <v>8284</v>
      </c>
      <c r="H54" s="67">
        <v>400</v>
      </c>
      <c r="I54" s="65">
        <f t="shared" si="9"/>
        <v>8684</v>
      </c>
    </row>
    <row r="55" spans="1:10">
      <c r="A55" s="1"/>
      <c r="B55" s="1"/>
      <c r="C55" s="1"/>
      <c r="D55" s="1"/>
      <c r="E55" s="1" t="s">
        <v>50</v>
      </c>
      <c r="F55" s="1"/>
      <c r="G55" s="89">
        <v>12699</v>
      </c>
      <c r="H55" s="67">
        <v>900</v>
      </c>
      <c r="I55" s="65">
        <f t="shared" si="9"/>
        <v>13599</v>
      </c>
    </row>
    <row r="56" spans="1:10">
      <c r="A56" s="1"/>
      <c r="B56" s="1"/>
      <c r="C56" s="1"/>
      <c r="D56" s="1"/>
      <c r="E56" s="1" t="s">
        <v>51</v>
      </c>
      <c r="F56" s="1"/>
      <c r="G56" s="89">
        <v>22411</v>
      </c>
      <c r="H56" s="67">
        <v>2000</v>
      </c>
      <c r="I56" s="65">
        <f t="shared" si="9"/>
        <v>24411</v>
      </c>
    </row>
    <row r="57" spans="1:10">
      <c r="A57" s="1"/>
      <c r="B57" s="1"/>
      <c r="C57" s="1"/>
      <c r="D57" s="1"/>
      <c r="E57" s="1" t="s">
        <v>52</v>
      </c>
      <c r="F57" s="1"/>
      <c r="G57" s="89">
        <v>1632</v>
      </c>
      <c r="H57" s="67">
        <v>2000</v>
      </c>
      <c r="I57" s="65">
        <f t="shared" si="9"/>
        <v>3632</v>
      </c>
    </row>
    <row r="58" spans="1:10">
      <c r="A58" s="1"/>
      <c r="B58" s="1"/>
      <c r="C58" s="1"/>
      <c r="D58" s="1"/>
      <c r="E58" s="1" t="s">
        <v>53</v>
      </c>
      <c r="F58" s="1"/>
      <c r="G58" s="107">
        <v>224</v>
      </c>
      <c r="H58" s="108">
        <v>0</v>
      </c>
      <c r="I58" s="109">
        <f t="shared" si="9"/>
        <v>224</v>
      </c>
    </row>
    <row r="59" spans="1:10">
      <c r="A59" s="1"/>
      <c r="B59" s="1"/>
      <c r="C59" s="1"/>
      <c r="D59" s="1" t="s">
        <v>54</v>
      </c>
      <c r="E59" s="1"/>
      <c r="F59" s="1"/>
      <c r="G59" s="110">
        <f t="shared" ref="G59" si="10">SUM(G27:G43)+SUM(G50:G58)</f>
        <v>372867.5</v>
      </c>
      <c r="H59" s="110">
        <f t="shared" ref="H59" si="11">SUM(H27:H43)+SUM(H50:H58)</f>
        <v>35329</v>
      </c>
      <c r="I59" s="110">
        <f>SUM(I27:I43)+SUM(I50:I58)</f>
        <v>408196.5</v>
      </c>
      <c r="J59" s="6"/>
    </row>
    <row r="60" spans="1:10" ht="30" customHeight="1">
      <c r="A60" s="1"/>
      <c r="B60" s="1"/>
      <c r="C60" s="1"/>
      <c r="D60" s="1" t="s">
        <v>55</v>
      </c>
      <c r="E60" s="1"/>
      <c r="F60" s="1"/>
      <c r="G60" s="89">
        <v>0</v>
      </c>
      <c r="H60" s="67">
        <v>0</v>
      </c>
      <c r="I60" s="65">
        <f>SUM(H60:H60)</f>
        <v>0</v>
      </c>
    </row>
    <row r="61" spans="1:10">
      <c r="A61" s="1"/>
      <c r="B61" s="1"/>
      <c r="C61" s="1"/>
      <c r="D61" s="1" t="s">
        <v>56</v>
      </c>
      <c r="E61" s="1"/>
      <c r="F61" s="1"/>
      <c r="H61" s="110"/>
      <c r="I61" s="106"/>
    </row>
    <row r="62" spans="1:10">
      <c r="A62" s="1"/>
      <c r="B62" s="1"/>
      <c r="C62" s="1"/>
      <c r="D62" s="1"/>
      <c r="E62" s="1" t="s">
        <v>57</v>
      </c>
      <c r="F62" s="1"/>
      <c r="G62" s="89">
        <v>2970</v>
      </c>
      <c r="H62" s="67">
        <v>0</v>
      </c>
      <c r="I62" s="65">
        <f>SUM(G62:H62)</f>
        <v>2970</v>
      </c>
    </row>
    <row r="63" spans="1:10">
      <c r="A63" s="1"/>
      <c r="B63" s="1"/>
      <c r="C63" s="1"/>
      <c r="D63" s="1"/>
      <c r="E63" s="1" t="s">
        <v>58</v>
      </c>
      <c r="F63" s="1"/>
      <c r="G63" s="89">
        <v>70586</v>
      </c>
      <c r="H63" s="67">
        <v>6417</v>
      </c>
      <c r="I63" s="65">
        <f>SUM(G63:H63)</f>
        <v>77003</v>
      </c>
      <c r="J63" s="26"/>
    </row>
    <row r="64" spans="1:10">
      <c r="A64" s="1"/>
      <c r="B64" s="1"/>
      <c r="C64" s="1"/>
      <c r="D64" s="1" t="s">
        <v>59</v>
      </c>
      <c r="E64" s="1"/>
      <c r="F64" s="1"/>
      <c r="G64" s="110">
        <f t="shared" ref="G64" si="12">SUM(G62:G63)</f>
        <v>73556</v>
      </c>
      <c r="H64" s="110">
        <f t="shared" ref="H64:I64" si="13">SUM(H62:H63)</f>
        <v>6417</v>
      </c>
      <c r="I64" s="110">
        <f t="shared" si="13"/>
        <v>79973</v>
      </c>
    </row>
    <row r="65" spans="1:9" ht="30" customHeight="1" thickBot="1">
      <c r="A65" s="1"/>
      <c r="B65" s="1"/>
      <c r="C65" s="1" t="s">
        <v>60</v>
      </c>
      <c r="D65" s="1"/>
      <c r="E65" s="1"/>
      <c r="F65" s="1"/>
      <c r="G65" s="112">
        <f t="shared" ref="G65:I65" si="14">G59+G64</f>
        <v>446423.5</v>
      </c>
      <c r="H65" s="112">
        <f t="shared" si="14"/>
        <v>41746</v>
      </c>
      <c r="I65" s="112">
        <f t="shared" si="14"/>
        <v>488169.5</v>
      </c>
    </row>
    <row r="66" spans="1:9" ht="30" customHeight="1">
      <c r="A66" s="1"/>
      <c r="B66" s="1" t="s">
        <v>61</v>
      </c>
      <c r="C66" s="1"/>
      <c r="D66" s="1"/>
      <c r="E66" s="1"/>
      <c r="F66" s="1"/>
      <c r="G66" s="110">
        <f t="shared" ref="G66" si="15">G24-G65</f>
        <v>-42773.260000000009</v>
      </c>
      <c r="H66" s="110">
        <f t="shared" ref="H66:I66" si="16">H24-H65</f>
        <v>65769</v>
      </c>
      <c r="I66" s="110">
        <f t="shared" si="16"/>
        <v>22995.739999999991</v>
      </c>
    </row>
    <row r="67" spans="1:9" ht="30" customHeight="1">
      <c r="A67" s="1"/>
      <c r="B67" s="1" t="s">
        <v>62</v>
      </c>
      <c r="C67" s="1"/>
      <c r="D67" s="1"/>
      <c r="E67" s="1"/>
      <c r="F67" s="1"/>
      <c r="H67" s="67"/>
      <c r="I67" s="65"/>
    </row>
    <row r="68" spans="1:9">
      <c r="A68" s="1"/>
      <c r="B68" s="1"/>
      <c r="C68" s="1" t="s">
        <v>63</v>
      </c>
      <c r="D68" s="1"/>
      <c r="E68" s="1"/>
      <c r="F68" s="1"/>
      <c r="H68" s="67"/>
      <c r="I68" s="65"/>
    </row>
    <row r="69" spans="1:9">
      <c r="A69" s="1"/>
      <c r="B69" s="1"/>
      <c r="C69" s="1"/>
      <c r="D69" s="1" t="s">
        <v>63</v>
      </c>
      <c r="E69" s="1"/>
      <c r="F69" s="1"/>
      <c r="H69" s="67"/>
      <c r="I69" s="65"/>
    </row>
    <row r="70" spans="1:9">
      <c r="A70" s="1"/>
      <c r="B70" s="1"/>
      <c r="C70" s="1"/>
      <c r="D70" s="1"/>
      <c r="E70" s="1" t="s">
        <v>64</v>
      </c>
      <c r="F70" s="1"/>
      <c r="G70" s="89">
        <v>45836</v>
      </c>
      <c r="H70" s="89">
        <v>3000</v>
      </c>
      <c r="I70" s="65">
        <f>SUM(G70:H70)</f>
        <v>48836</v>
      </c>
    </row>
    <row r="71" spans="1:9">
      <c r="A71" s="1"/>
      <c r="B71" s="1"/>
      <c r="C71" s="1"/>
      <c r="D71" s="1"/>
      <c r="E71" s="1" t="s">
        <v>65</v>
      </c>
      <c r="F71" s="1"/>
      <c r="G71" s="89">
        <v>234186</v>
      </c>
      <c r="H71" s="89">
        <v>21315</v>
      </c>
      <c r="I71" s="65">
        <f>SUM(G71:H71)</f>
        <v>255501</v>
      </c>
    </row>
    <row r="72" spans="1:9" s="90" customFormat="1">
      <c r="A72" s="91"/>
      <c r="B72" s="91"/>
      <c r="C72" s="91"/>
      <c r="D72" s="91"/>
      <c r="E72" s="91" t="s">
        <v>167</v>
      </c>
      <c r="F72" s="91"/>
      <c r="G72" s="89">
        <v>44.84</v>
      </c>
      <c r="H72" s="89">
        <v>0</v>
      </c>
      <c r="I72" s="65">
        <f>SUM(G72:H72)</f>
        <v>44.84</v>
      </c>
    </row>
    <row r="73" spans="1:9" s="69" customFormat="1">
      <c r="A73" s="70"/>
      <c r="B73" s="70"/>
      <c r="C73" s="70"/>
      <c r="D73" s="70"/>
      <c r="E73" s="91" t="s">
        <v>155</v>
      </c>
      <c r="F73" s="70"/>
      <c r="G73" s="107">
        <v>13161</v>
      </c>
      <c r="H73" s="108"/>
      <c r="I73" s="109">
        <f>SUM(G73:H73)</f>
        <v>13161</v>
      </c>
    </row>
    <row r="74" spans="1:9">
      <c r="A74" s="1"/>
      <c r="B74" s="1"/>
      <c r="C74" s="1"/>
      <c r="D74" s="1" t="s">
        <v>67</v>
      </c>
      <c r="E74" s="1"/>
      <c r="F74" s="1"/>
      <c r="G74" s="110">
        <f t="shared" ref="G74:I74" si="17">SUM(G70:G73)</f>
        <v>293227.84000000003</v>
      </c>
      <c r="H74" s="110">
        <f t="shared" si="17"/>
        <v>24315</v>
      </c>
      <c r="I74" s="110">
        <f t="shared" si="17"/>
        <v>317542.84000000003</v>
      </c>
    </row>
    <row r="75" spans="1:9" ht="30" customHeight="1">
      <c r="A75" s="1"/>
      <c r="B75" s="1"/>
      <c r="C75" s="1" t="s">
        <v>67</v>
      </c>
      <c r="D75" s="1"/>
      <c r="E75" s="1"/>
      <c r="F75" s="1"/>
      <c r="G75" s="110">
        <f t="shared" ref="G75:H75" si="18">G74</f>
        <v>293227.84000000003</v>
      </c>
      <c r="H75" s="110">
        <f t="shared" si="18"/>
        <v>24315</v>
      </c>
      <c r="I75" s="110">
        <f>I74</f>
        <v>317542.84000000003</v>
      </c>
    </row>
    <row r="76" spans="1:9" ht="30" customHeight="1">
      <c r="A76" s="1"/>
      <c r="B76" s="1"/>
      <c r="C76" s="1" t="s">
        <v>68</v>
      </c>
      <c r="D76" s="1"/>
      <c r="E76" s="1"/>
      <c r="F76" s="1"/>
      <c r="H76" s="67"/>
      <c r="I76" s="65"/>
    </row>
    <row r="77" spans="1:9">
      <c r="A77" s="1"/>
      <c r="B77" s="1"/>
      <c r="C77" s="1"/>
      <c r="D77" s="1" t="s">
        <v>69</v>
      </c>
      <c r="E77" s="1"/>
      <c r="F77" s="1"/>
      <c r="H77" s="67"/>
      <c r="I77" s="65"/>
    </row>
    <row r="78" spans="1:9" s="90" customFormat="1">
      <c r="A78" s="91"/>
      <c r="B78" s="91"/>
      <c r="C78" s="91"/>
      <c r="D78" s="91"/>
      <c r="E78" s="61" t="s">
        <v>152</v>
      </c>
      <c r="F78" s="91"/>
      <c r="G78" s="89"/>
      <c r="H78" s="67"/>
      <c r="I78" s="65"/>
    </row>
    <row r="79" spans="1:9">
      <c r="A79" s="1"/>
      <c r="B79" s="1"/>
      <c r="C79" s="1"/>
      <c r="D79" s="1"/>
      <c r="E79" s="1" t="s">
        <v>70</v>
      </c>
      <c r="F79" s="1"/>
      <c r="G79" s="89">
        <v>31977</v>
      </c>
      <c r="H79" s="89">
        <v>2916</v>
      </c>
      <c r="I79" s="65">
        <f t="shared" ref="I79:I85" si="19">SUM(G79:H79)</f>
        <v>34893</v>
      </c>
    </row>
    <row r="80" spans="1:9">
      <c r="A80" s="1"/>
      <c r="B80" s="1"/>
      <c r="C80" s="1"/>
      <c r="D80" s="1"/>
      <c r="E80" s="1" t="s">
        <v>71</v>
      </c>
      <c r="F80" s="1"/>
      <c r="G80" s="89">
        <v>93339</v>
      </c>
      <c r="H80" s="67">
        <v>0</v>
      </c>
      <c r="I80" s="65">
        <f t="shared" si="19"/>
        <v>93339</v>
      </c>
    </row>
    <row r="81" spans="1:10">
      <c r="A81" s="1"/>
      <c r="B81" s="1"/>
      <c r="C81" s="1"/>
      <c r="D81" s="1"/>
      <c r="E81" s="1" t="s">
        <v>72</v>
      </c>
      <c r="F81" s="1"/>
      <c r="G81" s="89">
        <v>30603</v>
      </c>
      <c r="H81" s="67">
        <v>0</v>
      </c>
      <c r="I81" s="65">
        <f t="shared" si="19"/>
        <v>30603</v>
      </c>
    </row>
    <row r="82" spans="1:10">
      <c r="A82" s="1"/>
      <c r="B82" s="1"/>
      <c r="C82" s="1"/>
      <c r="D82" s="1"/>
      <c r="E82" s="1" t="s">
        <v>135</v>
      </c>
      <c r="F82" s="1"/>
      <c r="G82" s="89">
        <v>39000</v>
      </c>
      <c r="H82" s="67">
        <v>0</v>
      </c>
      <c r="I82" s="65">
        <f t="shared" si="19"/>
        <v>39000</v>
      </c>
    </row>
    <row r="83" spans="1:10">
      <c r="A83" s="1"/>
      <c r="B83" s="1"/>
      <c r="C83" s="1"/>
      <c r="D83" s="1"/>
      <c r="E83" s="1" t="s">
        <v>136</v>
      </c>
      <c r="F83" s="1"/>
      <c r="G83" s="89">
        <v>17300</v>
      </c>
      <c r="H83" s="67">
        <v>0</v>
      </c>
      <c r="I83" s="65">
        <f t="shared" si="19"/>
        <v>17300</v>
      </c>
      <c r="J83" s="69"/>
    </row>
    <row r="84" spans="1:10" s="69" customFormat="1">
      <c r="A84" s="70"/>
      <c r="B84" s="70"/>
      <c r="C84" s="70"/>
      <c r="D84" s="70"/>
      <c r="E84" s="70" t="s">
        <v>140</v>
      </c>
      <c r="F84" s="70"/>
      <c r="G84" s="89">
        <v>12377</v>
      </c>
      <c r="H84" s="67">
        <v>0</v>
      </c>
      <c r="I84" s="65">
        <f t="shared" si="19"/>
        <v>12377</v>
      </c>
    </row>
    <row r="85" spans="1:10" s="69" customFormat="1">
      <c r="A85" s="70"/>
      <c r="B85" s="70"/>
      <c r="C85" s="70"/>
      <c r="D85" s="70"/>
      <c r="E85" s="70" t="s">
        <v>144</v>
      </c>
      <c r="F85" s="70"/>
      <c r="G85" s="107">
        <v>0</v>
      </c>
      <c r="H85" s="108">
        <v>77000</v>
      </c>
      <c r="I85" s="109">
        <f t="shared" si="19"/>
        <v>77000</v>
      </c>
    </row>
    <row r="86" spans="1:10" ht="16.5" customHeight="1">
      <c r="A86" s="1"/>
      <c r="B86" s="1"/>
      <c r="C86" s="1"/>
      <c r="D86" s="1" t="s">
        <v>74</v>
      </c>
      <c r="E86" s="1"/>
      <c r="F86" s="1"/>
      <c r="G86" s="110">
        <f>SUM(G79:G85)</f>
        <v>224596</v>
      </c>
      <c r="H86" s="110">
        <f>SUM(H79:H85)</f>
        <v>79916</v>
      </c>
      <c r="I86" s="110">
        <f>SUM(I79:I85)</f>
        <v>304512</v>
      </c>
    </row>
    <row r="87" spans="1:10" s="2" customFormat="1" ht="22.5" customHeight="1">
      <c r="A87" s="1"/>
      <c r="B87" s="1" t="s">
        <v>75</v>
      </c>
      <c r="C87" s="1"/>
      <c r="D87" s="1"/>
      <c r="E87" s="1"/>
      <c r="F87" s="1"/>
      <c r="G87" s="110">
        <f t="shared" ref="G87:I87" si="20">ROUND(G74-G86,5)</f>
        <v>68631.839999999997</v>
      </c>
      <c r="H87" s="110">
        <f t="shared" si="20"/>
        <v>-55601</v>
      </c>
      <c r="I87" s="110">
        <f t="shared" si="20"/>
        <v>13030.84</v>
      </c>
      <c r="J87"/>
    </row>
    <row r="88" spans="1:10" ht="15.75" thickBot="1">
      <c r="A88" s="1" t="s">
        <v>76</v>
      </c>
      <c r="B88" s="1"/>
      <c r="C88" s="1"/>
      <c r="D88" s="1"/>
      <c r="E88" s="1"/>
      <c r="F88" s="1"/>
      <c r="G88" s="113">
        <f t="shared" ref="G88:I88" si="21">G66+G87</f>
        <v>25858.579999999987</v>
      </c>
      <c r="H88" s="113">
        <f t="shared" si="21"/>
        <v>10168</v>
      </c>
      <c r="I88" s="113">
        <f t="shared" si="21"/>
        <v>36026.579999999987</v>
      </c>
      <c r="J88" s="2"/>
    </row>
    <row r="90" spans="1:10">
      <c r="H90" s="89"/>
      <c r="J90" s="26"/>
    </row>
    <row r="92" spans="1:10">
      <c r="H92" s="95"/>
    </row>
    <row r="93" spans="1:10">
      <c r="H93" s="95"/>
    </row>
    <row r="96" spans="1:10" s="90" customFormat="1">
      <c r="A96" s="3"/>
      <c r="B96" s="3"/>
      <c r="C96" s="3"/>
      <c r="D96" s="3"/>
      <c r="E96" s="3"/>
      <c r="F96" s="3"/>
      <c r="G96" s="89"/>
      <c r="H96" s="95"/>
      <c r="I96" s="26"/>
    </row>
  </sheetData>
  <pageMargins left="0.7" right="0.7" top="0.75" bottom="0.75" header="0.25" footer="0.3"/>
  <pageSetup scale="47" fitToHeight="2" orientation="portrait" horizontalDpi="4294967293" verticalDpi="0" r:id="rId1"/>
  <headerFooter>
    <oddHeader>&amp;C&amp;"Arial,Bold"&amp;12 Lake Durango Water Authority
&amp;14 Profit &amp; Loss
&amp;10 2015
 Projection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workbookViewId="0">
      <pane xSplit="6" ySplit="1" topLeftCell="G71" activePane="bottomRight" state="frozenSplit"/>
      <selection pane="topRight" activeCell="G1" sqref="G1"/>
      <selection pane="bottomLeft" activeCell="A2" sqref="A2"/>
      <selection pane="bottomRight" activeCell="G64" sqref="G64"/>
    </sheetView>
  </sheetViews>
  <sheetFormatPr defaultRowHeight="15"/>
  <cols>
    <col min="1" max="5" width="3" style="64" customWidth="1"/>
    <col min="6" max="6" width="34.85546875" style="64" customWidth="1"/>
    <col min="7" max="7" width="12.28515625" style="75" customWidth="1"/>
    <col min="8" max="8" width="15.28515625" style="75" customWidth="1"/>
    <col min="9" max="9" width="12.140625" style="76" customWidth="1"/>
    <col min="10" max="10" width="12.42578125" style="83" customWidth="1"/>
    <col min="11" max="11" width="3.5703125" style="77" customWidth="1"/>
    <col min="12" max="16384" width="9.140625" style="69"/>
  </cols>
  <sheetData>
    <row r="1" spans="1:11" s="60" customFormat="1" ht="63">
      <c r="A1" s="59"/>
      <c r="B1" s="59"/>
      <c r="C1" s="59"/>
      <c r="D1" s="59"/>
      <c r="E1" s="59"/>
      <c r="F1" s="59" t="s">
        <v>149</v>
      </c>
      <c r="G1" s="72" t="s">
        <v>168</v>
      </c>
      <c r="H1" s="73" t="s">
        <v>169</v>
      </c>
      <c r="I1" s="74" t="s">
        <v>133</v>
      </c>
      <c r="J1" s="81" t="s">
        <v>141</v>
      </c>
      <c r="K1" s="74"/>
    </row>
    <row r="2" spans="1:11" s="63" customFormat="1">
      <c r="A2" s="61"/>
      <c r="B2" s="61" t="s">
        <v>0</v>
      </c>
      <c r="C2" s="61"/>
      <c r="D2" s="61"/>
      <c r="E2" s="61"/>
      <c r="F2" s="61" t="s">
        <v>150</v>
      </c>
      <c r="G2" s="75"/>
      <c r="H2" s="75"/>
      <c r="I2" s="76"/>
      <c r="J2" s="82"/>
      <c r="K2" s="76"/>
    </row>
    <row r="3" spans="1:11" s="63" customFormat="1">
      <c r="A3" s="61"/>
      <c r="B3" s="61"/>
      <c r="C3" s="61" t="s">
        <v>1</v>
      </c>
      <c r="D3" s="61"/>
      <c r="E3" s="61"/>
      <c r="F3" s="61"/>
      <c r="G3" s="75"/>
      <c r="H3" s="75"/>
      <c r="I3" s="76"/>
      <c r="J3" s="82"/>
      <c r="K3" s="76"/>
    </row>
    <row r="4" spans="1:11" s="63" customFormat="1">
      <c r="A4" s="61"/>
      <c r="B4" s="61"/>
      <c r="C4" s="61"/>
      <c r="D4" s="70" t="s">
        <v>134</v>
      </c>
      <c r="E4" s="61"/>
      <c r="F4" s="61"/>
      <c r="G4" s="75">
        <f>'2015 projection'!I4</f>
        <v>0</v>
      </c>
      <c r="H4" s="75">
        <v>0</v>
      </c>
      <c r="I4" s="75">
        <f>H4-G4</f>
        <v>0</v>
      </c>
      <c r="J4" s="82"/>
      <c r="K4" s="76"/>
    </row>
    <row r="5" spans="1:11" s="63" customFormat="1">
      <c r="A5" s="61"/>
      <c r="B5" s="61"/>
      <c r="C5" s="61"/>
      <c r="D5" s="61" t="s">
        <v>2</v>
      </c>
      <c r="E5" s="61"/>
      <c r="F5" s="61"/>
      <c r="G5" s="75">
        <f>'2015 projection'!I5</f>
        <v>0</v>
      </c>
      <c r="H5" s="75">
        <v>200</v>
      </c>
      <c r="I5" s="75">
        <f>H5-G5</f>
        <v>200</v>
      </c>
      <c r="J5" s="82">
        <f>(G5-H5)/H5</f>
        <v>-1</v>
      </c>
      <c r="K5" s="76"/>
    </row>
    <row r="6" spans="1:11" s="63" customFormat="1">
      <c r="A6" s="61"/>
      <c r="B6" s="61"/>
      <c r="C6" s="61"/>
      <c r="D6" s="61" t="s">
        <v>3</v>
      </c>
      <c r="E6" s="61"/>
      <c r="F6" s="61"/>
      <c r="G6" s="75"/>
      <c r="H6" s="75"/>
      <c r="I6" s="76"/>
      <c r="J6" s="82"/>
      <c r="K6" s="76"/>
    </row>
    <row r="7" spans="1:11" s="63" customFormat="1">
      <c r="A7" s="61"/>
      <c r="B7" s="61"/>
      <c r="C7" s="61"/>
      <c r="D7" s="61"/>
      <c r="E7" s="61" t="s">
        <v>4</v>
      </c>
      <c r="F7" s="61"/>
      <c r="G7" s="75"/>
      <c r="H7" s="75"/>
      <c r="I7" s="76"/>
      <c r="J7" s="82"/>
      <c r="K7" s="76"/>
    </row>
    <row r="8" spans="1:11">
      <c r="A8" s="61"/>
      <c r="B8" s="61"/>
      <c r="C8" s="61"/>
      <c r="D8" s="61"/>
      <c r="E8" s="61"/>
      <c r="F8" s="61" t="s">
        <v>5</v>
      </c>
      <c r="G8" s="75">
        <f>'2015 projection'!I8</f>
        <v>168962</v>
      </c>
      <c r="H8" s="75">
        <v>166999</v>
      </c>
      <c r="I8" s="75">
        <f t="shared" ref="I8:I11" si="0">H8-G8</f>
        <v>-1963</v>
      </c>
      <c r="J8" s="82">
        <f t="shared" ref="J8:J23" si="1">(G8-H8)/H8</f>
        <v>1.1754561404559308E-2</v>
      </c>
    </row>
    <row r="9" spans="1:11">
      <c r="A9" s="61"/>
      <c r="B9" s="61"/>
      <c r="C9" s="61"/>
      <c r="D9" s="61"/>
      <c r="E9" s="61"/>
      <c r="F9" s="61" t="s">
        <v>6</v>
      </c>
      <c r="G9" s="75">
        <f>'2015 projection'!I9</f>
        <v>127664</v>
      </c>
      <c r="H9" s="75">
        <v>116524</v>
      </c>
      <c r="I9" s="75">
        <f t="shared" si="0"/>
        <v>-11140</v>
      </c>
      <c r="J9" s="82">
        <f t="shared" si="1"/>
        <v>9.5602622635680201E-2</v>
      </c>
    </row>
    <row r="10" spans="1:11">
      <c r="A10" s="61"/>
      <c r="B10" s="61"/>
      <c r="C10" s="61"/>
      <c r="D10" s="61"/>
      <c r="E10" s="61"/>
      <c r="F10" s="61" t="s">
        <v>7</v>
      </c>
      <c r="G10" s="75">
        <f>'2015 projection'!I10</f>
        <v>16189</v>
      </c>
      <c r="H10" s="75">
        <v>13598</v>
      </c>
      <c r="I10" s="75">
        <f t="shared" si="0"/>
        <v>-2591</v>
      </c>
      <c r="J10" s="82">
        <f t="shared" si="1"/>
        <v>0.19054272687159876</v>
      </c>
    </row>
    <row r="11" spans="1:11">
      <c r="A11" s="61"/>
      <c r="B11" s="61"/>
      <c r="C11" s="61"/>
      <c r="D11" s="61"/>
      <c r="E11" s="61" t="s">
        <v>8</v>
      </c>
      <c r="F11" s="61"/>
      <c r="G11" s="75">
        <f>'2015 projection'!I11</f>
        <v>312815</v>
      </c>
      <c r="H11" s="75">
        <f>SUM(H8:H10)</f>
        <v>297121</v>
      </c>
      <c r="I11" s="75">
        <f t="shared" si="0"/>
        <v>-15694</v>
      </c>
      <c r="J11" s="82">
        <f t="shared" si="1"/>
        <v>5.2820231488181581E-2</v>
      </c>
    </row>
    <row r="12" spans="1:11" ht="30" customHeight="1">
      <c r="A12" s="61"/>
      <c r="B12" s="61"/>
      <c r="C12" s="61"/>
      <c r="D12" s="61"/>
      <c r="E12" s="61" t="s">
        <v>9</v>
      </c>
      <c r="F12" s="61"/>
      <c r="J12" s="82"/>
    </row>
    <row r="13" spans="1:11">
      <c r="A13" s="61"/>
      <c r="B13" s="61"/>
      <c r="C13" s="61"/>
      <c r="D13" s="61"/>
      <c r="E13" s="61"/>
      <c r="F13" s="61" t="s">
        <v>10</v>
      </c>
      <c r="G13" s="75">
        <f>'2015 projection'!I13</f>
        <v>56069</v>
      </c>
      <c r="H13" s="75">
        <v>56069</v>
      </c>
      <c r="I13" s="75">
        <f t="shared" ref="I13:I23" si="2">H13-G13</f>
        <v>0</v>
      </c>
      <c r="J13" s="82">
        <f t="shared" si="1"/>
        <v>0</v>
      </c>
    </row>
    <row r="14" spans="1:11">
      <c r="A14" s="61"/>
      <c r="B14" s="61"/>
      <c r="C14" s="61"/>
      <c r="D14" s="61"/>
      <c r="E14" s="61"/>
      <c r="F14" s="61" t="s">
        <v>11</v>
      </c>
      <c r="G14" s="75">
        <f>'2015 projection'!I14</f>
        <v>50845</v>
      </c>
      <c r="H14" s="75">
        <v>44857</v>
      </c>
      <c r="I14" s="75">
        <f t="shared" si="2"/>
        <v>-5988</v>
      </c>
      <c r="J14" s="82">
        <f t="shared" si="1"/>
        <v>0.13349087099003501</v>
      </c>
    </row>
    <row r="15" spans="1:11">
      <c r="A15" s="61"/>
      <c r="B15" s="61"/>
      <c r="C15" s="61"/>
      <c r="D15" s="61"/>
      <c r="E15" s="61"/>
      <c r="F15" s="61" t="s">
        <v>12</v>
      </c>
      <c r="G15" s="75">
        <f>'2015 projection'!I15</f>
        <v>0</v>
      </c>
      <c r="H15" s="75">
        <v>0</v>
      </c>
      <c r="I15" s="75">
        <f t="shared" si="2"/>
        <v>0</v>
      </c>
      <c r="J15" s="82"/>
    </row>
    <row r="16" spans="1:11">
      <c r="A16" s="61"/>
      <c r="B16" s="61"/>
      <c r="C16" s="61"/>
      <c r="D16" s="61"/>
      <c r="E16" s="61" t="s">
        <v>13</v>
      </c>
      <c r="F16" s="61"/>
      <c r="G16" s="75">
        <f>'2015 projection'!I16</f>
        <v>106914</v>
      </c>
      <c r="H16" s="75">
        <f>SUM(H13:H15)</f>
        <v>100926</v>
      </c>
      <c r="I16" s="75">
        <f t="shared" si="2"/>
        <v>-5988</v>
      </c>
      <c r="J16" s="82">
        <f t="shared" si="1"/>
        <v>5.9330598656441351E-2</v>
      </c>
    </row>
    <row r="17" spans="1:12" ht="30" customHeight="1">
      <c r="A17" s="61"/>
      <c r="B17" s="61"/>
      <c r="C17" s="61"/>
      <c r="D17" s="61" t="s">
        <v>14</v>
      </c>
      <c r="E17" s="61"/>
      <c r="F17" s="61"/>
      <c r="G17" s="75">
        <f>'2015 projection'!I17</f>
        <v>419729</v>
      </c>
      <c r="H17" s="75">
        <f>H11+H16</f>
        <v>398047</v>
      </c>
      <c r="I17" s="75">
        <f t="shared" si="2"/>
        <v>-21682</v>
      </c>
      <c r="J17" s="82">
        <f t="shared" si="1"/>
        <v>5.4470954435029029E-2</v>
      </c>
    </row>
    <row r="18" spans="1:12" s="76" customFormat="1" ht="30" customHeight="1">
      <c r="A18" s="61"/>
      <c r="B18" s="61"/>
      <c r="C18" s="61"/>
      <c r="D18" s="61" t="s">
        <v>15</v>
      </c>
      <c r="E18" s="61"/>
      <c r="F18" s="61"/>
      <c r="G18" s="75">
        <f>'2015 projection'!I18</f>
        <v>7546</v>
      </c>
      <c r="H18" s="75">
        <v>5000</v>
      </c>
      <c r="I18" s="75">
        <f t="shared" si="2"/>
        <v>-2546</v>
      </c>
      <c r="J18" s="82">
        <f t="shared" si="1"/>
        <v>0.50919999999999999</v>
      </c>
      <c r="K18" s="77"/>
      <c r="L18" s="69"/>
    </row>
    <row r="19" spans="1:12" s="76" customFormat="1">
      <c r="A19" s="61"/>
      <c r="B19" s="61"/>
      <c r="C19" s="61"/>
      <c r="D19" s="61" t="s">
        <v>16</v>
      </c>
      <c r="E19" s="61"/>
      <c r="F19" s="61"/>
      <c r="G19" s="75">
        <f>'2015 projection'!I19</f>
        <v>87.24</v>
      </c>
      <c r="H19" s="75">
        <v>103</v>
      </c>
      <c r="I19" s="75">
        <f t="shared" si="2"/>
        <v>15.760000000000005</v>
      </c>
      <c r="J19" s="82">
        <f t="shared" si="1"/>
        <v>-0.15300970873786413</v>
      </c>
      <c r="K19" s="77"/>
      <c r="L19" s="69"/>
    </row>
    <row r="20" spans="1:12" s="76" customFormat="1">
      <c r="A20" s="61"/>
      <c r="B20" s="61"/>
      <c r="C20" s="61"/>
      <c r="D20" s="61" t="s">
        <v>17</v>
      </c>
      <c r="E20" s="61"/>
      <c r="F20" s="61"/>
      <c r="G20" s="75">
        <f>'2015 projection'!I20</f>
        <v>4103</v>
      </c>
      <c r="H20" s="75">
        <v>3000</v>
      </c>
      <c r="I20" s="75">
        <f t="shared" si="2"/>
        <v>-1103</v>
      </c>
      <c r="J20" s="82">
        <f t="shared" si="1"/>
        <v>0.36766666666666664</v>
      </c>
      <c r="K20" s="77"/>
      <c r="L20" s="69"/>
    </row>
    <row r="21" spans="1:12" s="76" customFormat="1">
      <c r="A21" s="61"/>
      <c r="B21" s="61"/>
      <c r="C21" s="61"/>
      <c r="D21" s="61" t="s">
        <v>18</v>
      </c>
      <c r="E21" s="61"/>
      <c r="F21" s="61"/>
      <c r="G21" s="75">
        <f>'2015 projection'!I22</f>
        <v>2700</v>
      </c>
      <c r="H21" s="75">
        <v>4500</v>
      </c>
      <c r="I21" s="75">
        <f t="shared" si="2"/>
        <v>1800</v>
      </c>
      <c r="J21" s="82">
        <f t="shared" si="1"/>
        <v>-0.4</v>
      </c>
      <c r="K21" s="77"/>
      <c r="L21" s="69"/>
    </row>
    <row r="22" spans="1:12" s="76" customFormat="1">
      <c r="A22" s="61"/>
      <c r="B22" s="61"/>
      <c r="C22" s="61"/>
      <c r="D22" s="70" t="s">
        <v>144</v>
      </c>
      <c r="E22" s="61"/>
      <c r="F22" s="61"/>
      <c r="G22" s="75">
        <f>'2015 projection'!I23</f>
        <v>77000</v>
      </c>
      <c r="H22" s="75">
        <v>77000</v>
      </c>
      <c r="I22" s="75">
        <f t="shared" si="2"/>
        <v>0</v>
      </c>
      <c r="J22" s="82">
        <f t="shared" si="1"/>
        <v>0</v>
      </c>
      <c r="K22" s="77"/>
      <c r="L22" s="69"/>
    </row>
    <row r="23" spans="1:12" s="76" customFormat="1">
      <c r="A23" s="61"/>
      <c r="B23" s="61"/>
      <c r="C23" s="61" t="s">
        <v>19</v>
      </c>
      <c r="D23" s="61"/>
      <c r="E23" s="61"/>
      <c r="F23" s="61"/>
      <c r="G23" s="75">
        <f>'2015 projection'!I24</f>
        <v>511165.24</v>
      </c>
      <c r="H23" s="78">
        <f>SUM(H17:H22)+H4+H5</f>
        <v>487850</v>
      </c>
      <c r="I23" s="75">
        <f t="shared" si="2"/>
        <v>-23315.239999999991</v>
      </c>
      <c r="J23" s="82">
        <f t="shared" si="1"/>
        <v>4.7791821256533751E-2</v>
      </c>
      <c r="K23" s="77"/>
      <c r="L23" s="69"/>
    </row>
    <row r="24" spans="1:12" s="76" customFormat="1" ht="30" customHeight="1">
      <c r="A24" s="61"/>
      <c r="B24" s="61"/>
      <c r="C24" s="61" t="s">
        <v>20</v>
      </c>
      <c r="D24" s="61"/>
      <c r="E24" s="61"/>
      <c r="F24" s="61"/>
      <c r="G24" s="75"/>
      <c r="H24" s="75"/>
      <c r="J24" s="83"/>
      <c r="K24" s="77"/>
      <c r="L24" s="69"/>
    </row>
    <row r="25" spans="1:12" s="76" customFormat="1">
      <c r="A25" s="61"/>
      <c r="B25" s="61"/>
      <c r="C25" s="61"/>
      <c r="D25" s="61" t="s">
        <v>21</v>
      </c>
      <c r="E25" s="61"/>
      <c r="F25" s="61"/>
      <c r="G25" s="75"/>
      <c r="H25" s="75"/>
      <c r="J25" s="83"/>
      <c r="K25" s="77"/>
      <c r="L25" s="69"/>
    </row>
    <row r="26" spans="1:12" s="76" customFormat="1">
      <c r="A26" s="61"/>
      <c r="B26" s="61"/>
      <c r="C26" s="61"/>
      <c r="D26" s="61"/>
      <c r="E26" s="61" t="s">
        <v>22</v>
      </c>
      <c r="F26" s="61"/>
      <c r="G26" s="75">
        <f>'2015 projection'!I27</f>
        <v>78900</v>
      </c>
      <c r="H26" s="75">
        <v>81439</v>
      </c>
      <c r="I26" s="75">
        <f t="shared" ref="I26:I42" si="3">H26-G26</f>
        <v>2539</v>
      </c>
      <c r="J26" s="82">
        <f t="shared" ref="J26:J84" si="4">(G26-H26)/H26</f>
        <v>-3.1176708947801422E-2</v>
      </c>
      <c r="K26" s="77"/>
      <c r="L26" s="69"/>
    </row>
    <row r="27" spans="1:12" s="76" customFormat="1">
      <c r="A27" s="61"/>
      <c r="B27" s="61"/>
      <c r="C27" s="61"/>
      <c r="D27" s="61"/>
      <c r="E27" s="61" t="s">
        <v>23</v>
      </c>
      <c r="F27" s="61"/>
      <c r="G27" s="75">
        <f>'2015 projection'!I28</f>
        <v>90202</v>
      </c>
      <c r="H27" s="75">
        <v>82092</v>
      </c>
      <c r="I27" s="75">
        <f t="shared" si="3"/>
        <v>-8110</v>
      </c>
      <c r="J27" s="82">
        <f t="shared" si="4"/>
        <v>9.8791599668664423E-2</v>
      </c>
      <c r="K27" s="77"/>
      <c r="L27" s="69"/>
    </row>
    <row r="28" spans="1:12" s="76" customFormat="1">
      <c r="A28" s="61"/>
      <c r="B28" s="61"/>
      <c r="C28" s="61"/>
      <c r="D28" s="61"/>
      <c r="E28" s="61" t="s">
        <v>24</v>
      </c>
      <c r="F28" s="61"/>
      <c r="G28" s="75">
        <f>'2015 projection'!I29</f>
        <v>13442</v>
      </c>
      <c r="H28" s="75">
        <v>13001</v>
      </c>
      <c r="I28" s="75">
        <f t="shared" si="3"/>
        <v>-441</v>
      </c>
      <c r="J28" s="82">
        <f t="shared" si="4"/>
        <v>3.3920467656334129E-2</v>
      </c>
      <c r="K28" s="77"/>
      <c r="L28" s="69"/>
    </row>
    <row r="29" spans="1:12" s="76" customFormat="1">
      <c r="A29" s="61"/>
      <c r="B29" s="61"/>
      <c r="C29" s="61"/>
      <c r="D29" s="61"/>
      <c r="E29" s="61" t="s">
        <v>25</v>
      </c>
      <c r="F29" s="61"/>
      <c r="G29" s="75">
        <f>'2015 projection'!I30</f>
        <v>20670</v>
      </c>
      <c r="H29" s="75">
        <v>20544</v>
      </c>
      <c r="I29" s="75">
        <f t="shared" si="3"/>
        <v>-126</v>
      </c>
      <c r="J29" s="82">
        <f t="shared" si="4"/>
        <v>6.1331775700934578E-3</v>
      </c>
      <c r="K29" s="77"/>
      <c r="L29" s="69"/>
    </row>
    <row r="30" spans="1:12" s="76" customFormat="1">
      <c r="A30" s="61"/>
      <c r="B30" s="61"/>
      <c r="C30" s="61"/>
      <c r="D30" s="61"/>
      <c r="E30" s="61" t="s">
        <v>26</v>
      </c>
      <c r="F30" s="61"/>
      <c r="G30" s="75">
        <f>'2015 projection'!I31</f>
        <v>0</v>
      </c>
      <c r="H30" s="75">
        <v>2000</v>
      </c>
      <c r="I30" s="75">
        <f t="shared" si="3"/>
        <v>2000</v>
      </c>
      <c r="J30" s="82">
        <f t="shared" si="4"/>
        <v>-1</v>
      </c>
      <c r="K30" s="77"/>
      <c r="L30" s="69"/>
    </row>
    <row r="31" spans="1:12" s="76" customFormat="1">
      <c r="A31" s="61"/>
      <c r="B31" s="61"/>
      <c r="C31" s="61"/>
      <c r="D31" s="61"/>
      <c r="E31" s="61" t="s">
        <v>27</v>
      </c>
      <c r="F31" s="61"/>
      <c r="G31" s="75">
        <f>'2015 projection'!I32</f>
        <v>15836</v>
      </c>
      <c r="H31" s="75">
        <v>17069</v>
      </c>
      <c r="I31" s="75">
        <f t="shared" si="3"/>
        <v>1233</v>
      </c>
      <c r="J31" s="82">
        <f t="shared" si="4"/>
        <v>-7.2236217704610695E-2</v>
      </c>
      <c r="K31" s="77"/>
      <c r="L31" s="69"/>
    </row>
    <row r="32" spans="1:12" s="76" customFormat="1">
      <c r="A32" s="61"/>
      <c r="B32" s="61"/>
      <c r="C32" s="61"/>
      <c r="D32" s="61"/>
      <c r="E32" s="61" t="s">
        <v>28</v>
      </c>
      <c r="F32" s="61"/>
      <c r="G32" s="75">
        <f>'2015 projection'!I33</f>
        <v>2897</v>
      </c>
      <c r="H32" s="75">
        <v>8000</v>
      </c>
      <c r="I32" s="75">
        <f t="shared" si="3"/>
        <v>5103</v>
      </c>
      <c r="J32" s="82">
        <f t="shared" si="4"/>
        <v>-0.63787499999999997</v>
      </c>
      <c r="K32" s="77"/>
      <c r="L32" s="69"/>
    </row>
    <row r="33" spans="1:12" s="76" customFormat="1">
      <c r="A33" s="61"/>
      <c r="B33" s="61"/>
      <c r="C33" s="61"/>
      <c r="D33" s="61"/>
      <c r="E33" s="61" t="s">
        <v>29</v>
      </c>
      <c r="F33" s="61"/>
      <c r="G33" s="75">
        <f>'2015 projection'!I34</f>
        <v>34664</v>
      </c>
      <c r="H33" s="75">
        <v>34978</v>
      </c>
      <c r="I33" s="75">
        <f t="shared" si="3"/>
        <v>314</v>
      </c>
      <c r="J33" s="82">
        <f t="shared" si="4"/>
        <v>-8.9770713019612335E-3</v>
      </c>
      <c r="K33" s="77"/>
      <c r="L33" s="69"/>
    </row>
    <row r="34" spans="1:12" s="76" customFormat="1">
      <c r="A34" s="61"/>
      <c r="B34" s="61"/>
      <c r="C34" s="61"/>
      <c r="D34" s="61"/>
      <c r="E34" s="61" t="s">
        <v>30</v>
      </c>
      <c r="F34" s="61"/>
      <c r="G34" s="75">
        <f>'2015 projection'!I35</f>
        <v>1278</v>
      </c>
      <c r="H34" s="75">
        <v>520</v>
      </c>
      <c r="I34" s="75">
        <f t="shared" si="3"/>
        <v>-758</v>
      </c>
      <c r="J34" s="82">
        <f t="shared" si="4"/>
        <v>1.4576923076923076</v>
      </c>
      <c r="K34" s="77"/>
      <c r="L34" s="69"/>
    </row>
    <row r="35" spans="1:12" s="76" customFormat="1">
      <c r="A35" s="61"/>
      <c r="B35" s="61"/>
      <c r="C35" s="61"/>
      <c r="D35" s="61"/>
      <c r="E35" s="61" t="s">
        <v>31</v>
      </c>
      <c r="F35" s="61"/>
      <c r="G35" s="75">
        <f>'2015 projection'!I36</f>
        <v>1575</v>
      </c>
      <c r="H35" s="75">
        <v>1500</v>
      </c>
      <c r="I35" s="75">
        <f t="shared" si="3"/>
        <v>-75</v>
      </c>
      <c r="J35" s="82">
        <f t="shared" si="4"/>
        <v>0.05</v>
      </c>
      <c r="K35" s="77"/>
      <c r="L35" s="69"/>
    </row>
    <row r="36" spans="1:12" s="76" customFormat="1">
      <c r="A36" s="61"/>
      <c r="B36" s="61"/>
      <c r="C36" s="61"/>
      <c r="D36" s="61"/>
      <c r="E36" s="61" t="s">
        <v>32</v>
      </c>
      <c r="F36" s="61"/>
      <c r="G36" s="75">
        <f>'2015 projection'!I37</f>
        <v>628</v>
      </c>
      <c r="H36" s="75">
        <v>420</v>
      </c>
      <c r="I36" s="75">
        <f t="shared" si="3"/>
        <v>-208</v>
      </c>
      <c r="J36" s="82">
        <f t="shared" si="4"/>
        <v>0.49523809523809526</v>
      </c>
      <c r="K36" s="77"/>
      <c r="L36" s="69"/>
    </row>
    <row r="37" spans="1:12" s="76" customFormat="1">
      <c r="A37" s="61"/>
      <c r="B37" s="61"/>
      <c r="C37" s="61"/>
      <c r="D37" s="61"/>
      <c r="E37" s="61" t="s">
        <v>33</v>
      </c>
      <c r="F37" s="61"/>
      <c r="G37" s="75">
        <f>'2015 projection'!I38</f>
        <v>1091</v>
      </c>
      <c r="H37" s="75">
        <v>925</v>
      </c>
      <c r="I37" s="75">
        <f t="shared" si="3"/>
        <v>-166</v>
      </c>
      <c r="J37" s="82">
        <f t="shared" si="4"/>
        <v>0.17945945945945946</v>
      </c>
      <c r="K37" s="77"/>
      <c r="L37" s="69"/>
    </row>
    <row r="38" spans="1:12" s="76" customFormat="1">
      <c r="A38" s="61"/>
      <c r="B38" s="61"/>
      <c r="C38" s="61"/>
      <c r="D38" s="61"/>
      <c r="E38" s="61" t="s">
        <v>34</v>
      </c>
      <c r="F38" s="61"/>
      <c r="G38" s="75">
        <f>'2015 projection'!I39</f>
        <v>185</v>
      </c>
      <c r="H38" s="75">
        <v>1000</v>
      </c>
      <c r="I38" s="75">
        <f t="shared" si="3"/>
        <v>815</v>
      </c>
      <c r="J38" s="82">
        <f t="shared" si="4"/>
        <v>-0.81499999999999995</v>
      </c>
      <c r="K38" s="77"/>
      <c r="L38" s="69"/>
    </row>
    <row r="39" spans="1:12" s="76" customFormat="1">
      <c r="A39" s="61"/>
      <c r="B39" s="61"/>
      <c r="C39" s="61"/>
      <c r="D39" s="61"/>
      <c r="E39" s="61" t="s">
        <v>35</v>
      </c>
      <c r="F39" s="61"/>
      <c r="G39" s="75">
        <f>'2015 projection'!I40</f>
        <v>16012</v>
      </c>
      <c r="H39" s="75">
        <v>16268</v>
      </c>
      <c r="I39" s="75">
        <f t="shared" si="3"/>
        <v>256</v>
      </c>
      <c r="J39" s="82">
        <f t="shared" si="4"/>
        <v>-1.573641504794689E-2</v>
      </c>
      <c r="K39" s="77"/>
      <c r="L39" s="69"/>
    </row>
    <row r="40" spans="1:12" s="76" customFormat="1">
      <c r="A40" s="61"/>
      <c r="B40" s="61"/>
      <c r="C40" s="61"/>
      <c r="D40" s="61"/>
      <c r="E40" s="61" t="s">
        <v>36</v>
      </c>
      <c r="F40" s="61"/>
      <c r="G40" s="75">
        <f>'2015 projection'!I41</f>
        <v>4252</v>
      </c>
      <c r="H40" s="75">
        <v>4622</v>
      </c>
      <c r="I40" s="75">
        <f t="shared" si="3"/>
        <v>370</v>
      </c>
      <c r="J40" s="82">
        <f t="shared" si="4"/>
        <v>-8.0051925573344868E-2</v>
      </c>
      <c r="K40" s="77"/>
      <c r="L40" s="69"/>
    </row>
    <row r="41" spans="1:12" s="76" customFormat="1">
      <c r="A41" s="61"/>
      <c r="B41" s="61"/>
      <c r="C41" s="61"/>
      <c r="D41" s="61"/>
      <c r="E41" s="61" t="s">
        <v>37</v>
      </c>
      <c r="F41" s="61"/>
      <c r="G41" s="75">
        <f>'2015 projection'!I42</f>
        <v>865</v>
      </c>
      <c r="H41" s="75">
        <v>1065</v>
      </c>
      <c r="I41" s="75">
        <f t="shared" si="3"/>
        <v>200</v>
      </c>
      <c r="J41" s="82">
        <f t="shared" si="4"/>
        <v>-0.18779342723004694</v>
      </c>
      <c r="K41" s="77"/>
      <c r="L41" s="69"/>
    </row>
    <row r="42" spans="1:12" s="76" customFormat="1">
      <c r="A42" s="61"/>
      <c r="B42" s="61"/>
      <c r="C42" s="61"/>
      <c r="D42" s="61"/>
      <c r="E42" s="61" t="s">
        <v>38</v>
      </c>
      <c r="F42" s="61"/>
      <c r="G42" s="75">
        <f>'2015 projection'!I43</f>
        <v>5530</v>
      </c>
      <c r="H42" s="75">
        <v>5037</v>
      </c>
      <c r="I42" s="75">
        <f t="shared" si="3"/>
        <v>-493</v>
      </c>
      <c r="J42" s="82">
        <f t="shared" si="4"/>
        <v>9.7875719674409375E-2</v>
      </c>
      <c r="K42" s="77"/>
      <c r="L42" s="69"/>
    </row>
    <row r="43" spans="1:12" s="76" customFormat="1">
      <c r="A43" s="61"/>
      <c r="B43" s="61"/>
      <c r="C43" s="61"/>
      <c r="D43" s="61"/>
      <c r="E43" s="61" t="s">
        <v>39</v>
      </c>
      <c r="F43" s="61"/>
      <c r="G43" s="75"/>
      <c r="H43" s="75"/>
      <c r="J43" s="82"/>
      <c r="K43" s="77"/>
      <c r="L43" s="69"/>
    </row>
    <row r="44" spans="1:12" s="76" customFormat="1">
      <c r="A44" s="61"/>
      <c r="B44" s="61"/>
      <c r="C44" s="61"/>
      <c r="D44" s="61"/>
      <c r="E44" s="61"/>
      <c r="F44" s="61" t="s">
        <v>40</v>
      </c>
      <c r="G44" s="75">
        <f>'2015 projection'!I45</f>
        <v>395</v>
      </c>
      <c r="H44" s="75">
        <v>425</v>
      </c>
      <c r="I44" s="75">
        <f t="shared" ref="I44:I58" si="5">H44-G44</f>
        <v>30</v>
      </c>
      <c r="J44" s="82">
        <f t="shared" si="4"/>
        <v>-7.0588235294117646E-2</v>
      </c>
      <c r="K44" s="77"/>
      <c r="L44" s="69"/>
    </row>
    <row r="45" spans="1:12" s="76" customFormat="1">
      <c r="A45" s="61"/>
      <c r="B45" s="61"/>
      <c r="C45" s="61"/>
      <c r="D45" s="61"/>
      <c r="E45" s="61"/>
      <c r="F45" s="61" t="s">
        <v>41</v>
      </c>
      <c r="G45" s="75">
        <f>'2015 projection'!I46</f>
        <v>583</v>
      </c>
      <c r="H45" s="75">
        <v>346</v>
      </c>
      <c r="I45" s="75">
        <f t="shared" si="5"/>
        <v>-237</v>
      </c>
      <c r="J45" s="82">
        <f t="shared" si="4"/>
        <v>0.68497109826589597</v>
      </c>
      <c r="K45" s="77"/>
      <c r="L45" s="69"/>
    </row>
    <row r="46" spans="1:12" s="76" customFormat="1">
      <c r="A46" s="61"/>
      <c r="B46" s="61"/>
      <c r="C46" s="61"/>
      <c r="D46" s="61"/>
      <c r="E46" s="61"/>
      <c r="F46" s="61" t="s">
        <v>42</v>
      </c>
      <c r="G46" s="75">
        <f>'2015 projection'!I47</f>
        <v>3599</v>
      </c>
      <c r="H46" s="75">
        <v>4304</v>
      </c>
      <c r="I46" s="75">
        <f t="shared" si="5"/>
        <v>705</v>
      </c>
      <c r="J46" s="82">
        <f t="shared" si="4"/>
        <v>-0.16380111524163568</v>
      </c>
      <c r="K46" s="77"/>
      <c r="L46" s="69"/>
    </row>
    <row r="47" spans="1:12" s="76" customFormat="1">
      <c r="A47" s="61"/>
      <c r="B47" s="61"/>
      <c r="C47" s="61"/>
      <c r="D47" s="61"/>
      <c r="E47" s="61"/>
      <c r="F47" s="61" t="s">
        <v>43</v>
      </c>
      <c r="G47" s="75">
        <f>'2015 projection'!I48</f>
        <v>32761</v>
      </c>
      <c r="H47" s="75">
        <v>32097</v>
      </c>
      <c r="I47" s="75">
        <f t="shared" si="5"/>
        <v>-664</v>
      </c>
      <c r="J47" s="82">
        <f t="shared" si="4"/>
        <v>2.068729164719444E-2</v>
      </c>
      <c r="K47" s="77"/>
      <c r="L47" s="69"/>
    </row>
    <row r="48" spans="1:12" s="76" customFormat="1">
      <c r="A48" s="61"/>
      <c r="B48" s="61"/>
      <c r="C48" s="61"/>
      <c r="D48" s="61"/>
      <c r="E48" s="61"/>
      <c r="F48" s="61" t="s">
        <v>44</v>
      </c>
      <c r="G48" s="75">
        <f>'2015 projection'!I49</f>
        <v>552</v>
      </c>
      <c r="H48" s="75">
        <v>215</v>
      </c>
      <c r="I48" s="75">
        <f t="shared" si="5"/>
        <v>-337</v>
      </c>
      <c r="J48" s="82">
        <f t="shared" si="4"/>
        <v>1.5674418604651164</v>
      </c>
      <c r="K48" s="77"/>
      <c r="L48" s="69"/>
    </row>
    <row r="49" spans="1:12" s="76" customFormat="1">
      <c r="A49" s="61"/>
      <c r="B49" s="61"/>
      <c r="C49" s="61"/>
      <c r="D49" s="61"/>
      <c r="E49" s="61" t="s">
        <v>45</v>
      </c>
      <c r="F49" s="61"/>
      <c r="G49" s="75">
        <f>'2015 projection'!I50</f>
        <v>37890</v>
      </c>
      <c r="H49" s="75">
        <f>SUM(H44:H48)</f>
        <v>37387</v>
      </c>
      <c r="I49" s="75">
        <f t="shared" si="5"/>
        <v>-503</v>
      </c>
      <c r="J49" s="82">
        <f t="shared" si="4"/>
        <v>1.3453874341348596E-2</v>
      </c>
      <c r="K49" s="77"/>
      <c r="L49" s="69"/>
    </row>
    <row r="50" spans="1:12" s="76" customFormat="1" ht="14.25" customHeight="1">
      <c r="A50" s="61"/>
      <c r="B50" s="61"/>
      <c r="C50" s="61"/>
      <c r="D50" s="61"/>
      <c r="E50" s="61" t="s">
        <v>46</v>
      </c>
      <c r="F50" s="61"/>
      <c r="G50" s="75">
        <f>'2015 projection'!I51</f>
        <v>5068</v>
      </c>
      <c r="H50" s="75">
        <v>5000</v>
      </c>
      <c r="I50" s="75">
        <f t="shared" si="5"/>
        <v>-68</v>
      </c>
      <c r="J50" s="82">
        <f t="shared" si="4"/>
        <v>1.3599999999999999E-2</v>
      </c>
      <c r="K50" s="77"/>
      <c r="L50" s="69"/>
    </row>
    <row r="51" spans="1:12" s="76" customFormat="1">
      <c r="A51" s="61"/>
      <c r="B51" s="61"/>
      <c r="C51" s="61"/>
      <c r="D51" s="61"/>
      <c r="E51" s="61" t="s">
        <v>47</v>
      </c>
      <c r="F51" s="61"/>
      <c r="G51" s="75">
        <f>'2015 projection'!I52</f>
        <v>25854</v>
      </c>
      <c r="H51" s="75">
        <v>22000</v>
      </c>
      <c r="I51" s="75">
        <f t="shared" si="5"/>
        <v>-3854</v>
      </c>
      <c r="J51" s="82">
        <f t="shared" si="4"/>
        <v>0.17518181818181819</v>
      </c>
      <c r="K51" s="77"/>
      <c r="L51" s="69"/>
    </row>
    <row r="52" spans="1:12" s="76" customFormat="1">
      <c r="A52" s="61"/>
      <c r="B52" s="61"/>
      <c r="C52" s="61"/>
      <c r="D52" s="61"/>
      <c r="E52" s="61" t="s">
        <v>48</v>
      </c>
      <c r="F52" s="61"/>
      <c r="G52" s="75">
        <f>'2015 projection'!I53</f>
        <v>807.5</v>
      </c>
      <c r="H52" s="75">
        <v>5000</v>
      </c>
      <c r="I52" s="75">
        <f t="shared" si="5"/>
        <v>4192.5</v>
      </c>
      <c r="J52" s="82">
        <f t="shared" si="4"/>
        <v>-0.83850000000000002</v>
      </c>
      <c r="K52" s="77"/>
      <c r="L52" s="69"/>
    </row>
    <row r="53" spans="1:12" s="76" customFormat="1">
      <c r="A53" s="61"/>
      <c r="B53" s="61"/>
      <c r="C53" s="61"/>
      <c r="D53" s="61"/>
      <c r="E53" s="61" t="s">
        <v>49</v>
      </c>
      <c r="F53" s="61"/>
      <c r="G53" s="75">
        <f>'2015 projection'!I54</f>
        <v>8684</v>
      </c>
      <c r="H53" s="75">
        <v>11000</v>
      </c>
      <c r="I53" s="75">
        <f t="shared" si="5"/>
        <v>2316</v>
      </c>
      <c r="J53" s="82">
        <f t="shared" si="4"/>
        <v>-0.21054545454545454</v>
      </c>
      <c r="K53" s="77"/>
      <c r="L53" s="69"/>
    </row>
    <row r="54" spans="1:12" s="76" customFormat="1">
      <c r="A54" s="61"/>
      <c r="B54" s="61"/>
      <c r="C54" s="61"/>
      <c r="D54" s="61"/>
      <c r="E54" s="61" t="s">
        <v>50</v>
      </c>
      <c r="F54" s="61"/>
      <c r="G54" s="75">
        <f>'2015 projection'!I55</f>
        <v>13599</v>
      </c>
      <c r="H54" s="75">
        <v>16000</v>
      </c>
      <c r="I54" s="75">
        <f t="shared" si="5"/>
        <v>2401</v>
      </c>
      <c r="J54" s="82">
        <f t="shared" si="4"/>
        <v>-0.15006249999999999</v>
      </c>
      <c r="K54" s="77"/>
      <c r="L54" s="69"/>
    </row>
    <row r="55" spans="1:12" s="76" customFormat="1">
      <c r="A55" s="61"/>
      <c r="B55" s="61"/>
      <c r="C55" s="61"/>
      <c r="D55" s="61"/>
      <c r="E55" s="61" t="s">
        <v>51</v>
      </c>
      <c r="F55" s="61"/>
      <c r="G55" s="75">
        <f>'2015 projection'!I56</f>
        <v>24411</v>
      </c>
      <c r="H55" s="75">
        <v>15000</v>
      </c>
      <c r="I55" s="75">
        <f t="shared" si="5"/>
        <v>-9411</v>
      </c>
      <c r="J55" s="82">
        <f t="shared" si="4"/>
        <v>0.62739999999999996</v>
      </c>
      <c r="K55" s="77"/>
      <c r="L55" s="69"/>
    </row>
    <row r="56" spans="1:12" s="76" customFormat="1">
      <c r="A56" s="61"/>
      <c r="B56" s="61"/>
      <c r="C56" s="61"/>
      <c r="D56" s="61"/>
      <c r="E56" s="61" t="s">
        <v>52</v>
      </c>
      <c r="F56" s="61"/>
      <c r="G56" s="75">
        <f>'2015 projection'!I57</f>
        <v>3632</v>
      </c>
      <c r="H56" s="75">
        <v>5650</v>
      </c>
      <c r="I56" s="75">
        <f t="shared" si="5"/>
        <v>2018</v>
      </c>
      <c r="J56" s="82">
        <f t="shared" si="4"/>
        <v>-0.35716814159292037</v>
      </c>
      <c r="K56" s="77"/>
      <c r="L56" s="69"/>
    </row>
    <row r="57" spans="1:12" s="76" customFormat="1">
      <c r="A57" s="61"/>
      <c r="B57" s="61"/>
      <c r="C57" s="61"/>
      <c r="D57" s="61"/>
      <c r="E57" s="61" t="s">
        <v>53</v>
      </c>
      <c r="F57" s="61"/>
      <c r="G57" s="75">
        <f>'2015 projection'!I58</f>
        <v>224</v>
      </c>
      <c r="H57" s="75">
        <v>0</v>
      </c>
      <c r="I57" s="75">
        <f t="shared" si="5"/>
        <v>-224</v>
      </c>
      <c r="J57" s="82"/>
      <c r="K57" s="77"/>
      <c r="L57" s="69"/>
    </row>
    <row r="58" spans="1:12" s="76" customFormat="1">
      <c r="A58" s="61"/>
      <c r="B58" s="61"/>
      <c r="C58" s="61"/>
      <c r="D58" s="61" t="s">
        <v>54</v>
      </c>
      <c r="E58" s="61"/>
      <c r="F58" s="61"/>
      <c r="G58" s="75">
        <f>'2015 projection'!I59</f>
        <v>408196.5</v>
      </c>
      <c r="H58" s="75">
        <f>SUM(H26:H42)+SUM(H49:H57)</f>
        <v>407517</v>
      </c>
      <c r="I58" s="75">
        <f t="shared" si="5"/>
        <v>-679.5</v>
      </c>
      <c r="J58" s="82">
        <f t="shared" si="4"/>
        <v>1.6674151017012787E-3</v>
      </c>
      <c r="K58" s="77"/>
      <c r="L58" s="69"/>
    </row>
    <row r="59" spans="1:12" s="76" customFormat="1" ht="30" customHeight="1">
      <c r="A59" s="61"/>
      <c r="B59" s="61"/>
      <c r="C59" s="61"/>
      <c r="D59" s="61" t="s">
        <v>55</v>
      </c>
      <c r="E59" s="61"/>
      <c r="F59" s="61"/>
      <c r="G59" s="75">
        <f>'2015 projection'!I60</f>
        <v>0</v>
      </c>
      <c r="H59" s="75">
        <v>20000</v>
      </c>
      <c r="I59" s="75">
        <f>H59-G59</f>
        <v>20000</v>
      </c>
      <c r="J59" s="82">
        <f t="shared" si="4"/>
        <v>-1</v>
      </c>
      <c r="K59" s="77"/>
      <c r="L59" s="69"/>
    </row>
    <row r="60" spans="1:12" s="76" customFormat="1">
      <c r="A60" s="61"/>
      <c r="B60" s="61"/>
      <c r="C60" s="61"/>
      <c r="D60" s="61" t="s">
        <v>56</v>
      </c>
      <c r="E60" s="61"/>
      <c r="F60" s="61"/>
      <c r="G60" s="75">
        <f>'2015 projection'!I61</f>
        <v>0</v>
      </c>
      <c r="H60" s="75"/>
      <c r="J60" s="82"/>
      <c r="K60" s="77"/>
      <c r="L60" s="69"/>
    </row>
    <row r="61" spans="1:12" s="76" customFormat="1">
      <c r="A61" s="61"/>
      <c r="B61" s="61"/>
      <c r="C61" s="61"/>
      <c r="D61" s="61"/>
      <c r="E61" s="61" t="s">
        <v>57</v>
      </c>
      <c r="F61" s="61"/>
      <c r="G61" s="75">
        <f>'2015 projection'!I62</f>
        <v>2970</v>
      </c>
      <c r="H61" s="75">
        <v>2970</v>
      </c>
      <c r="I61" s="75">
        <f t="shared" ref="I61:I65" si="6">H61-G61</f>
        <v>0</v>
      </c>
      <c r="J61" s="82">
        <f t="shared" si="4"/>
        <v>0</v>
      </c>
      <c r="K61" s="77"/>
      <c r="L61" s="69"/>
    </row>
    <row r="62" spans="1:12" s="76" customFormat="1">
      <c r="A62" s="61"/>
      <c r="B62" s="61"/>
      <c r="C62" s="61"/>
      <c r="D62" s="61"/>
      <c r="E62" s="61" t="s">
        <v>58</v>
      </c>
      <c r="F62" s="61"/>
      <c r="G62" s="75">
        <f>'2015 projection'!I63</f>
        <v>77003</v>
      </c>
      <c r="H62" s="75">
        <v>77000</v>
      </c>
      <c r="I62" s="75">
        <f t="shared" si="6"/>
        <v>-3</v>
      </c>
      <c r="J62" s="82">
        <f t="shared" si="4"/>
        <v>3.896103896103896E-5</v>
      </c>
      <c r="K62" s="77"/>
      <c r="L62" s="69"/>
    </row>
    <row r="63" spans="1:12" s="76" customFormat="1">
      <c r="A63" s="61"/>
      <c r="B63" s="61"/>
      <c r="C63" s="61"/>
      <c r="D63" s="61" t="s">
        <v>59</v>
      </c>
      <c r="E63" s="61"/>
      <c r="F63" s="61"/>
      <c r="G63" s="75">
        <f>'2015 projection'!I64</f>
        <v>79973</v>
      </c>
      <c r="H63" s="75">
        <f>SUM(H61:H62)</f>
        <v>79970</v>
      </c>
      <c r="I63" s="75">
        <f t="shared" si="6"/>
        <v>-3</v>
      </c>
      <c r="J63" s="82">
        <f t="shared" si="4"/>
        <v>3.751406777541578E-5</v>
      </c>
      <c r="K63" s="77"/>
      <c r="L63" s="69"/>
    </row>
    <row r="64" spans="1:12" s="76" customFormat="1" ht="30" customHeight="1">
      <c r="A64" s="61"/>
      <c r="B64" s="61"/>
      <c r="C64" s="61" t="s">
        <v>60</v>
      </c>
      <c r="D64" s="61"/>
      <c r="E64" s="61"/>
      <c r="F64" s="61"/>
      <c r="G64" s="75">
        <f>'2015 projection'!I65</f>
        <v>488169.5</v>
      </c>
      <c r="H64" s="75">
        <f>H58+H59+H63</f>
        <v>507487</v>
      </c>
      <c r="I64" s="75">
        <f t="shared" si="6"/>
        <v>19317.5</v>
      </c>
      <c r="J64" s="82">
        <f t="shared" si="4"/>
        <v>-3.8065014473277148E-2</v>
      </c>
      <c r="K64" s="77"/>
      <c r="L64" s="69"/>
    </row>
    <row r="65" spans="1:12" s="76" customFormat="1" ht="30" customHeight="1">
      <c r="A65" s="61"/>
      <c r="B65" s="61" t="s">
        <v>61</v>
      </c>
      <c r="C65" s="61"/>
      <c r="D65" s="61"/>
      <c r="E65" s="61"/>
      <c r="F65" s="61"/>
      <c r="G65" s="75">
        <f>'2015 projection'!I66</f>
        <v>22995.739999999991</v>
      </c>
      <c r="H65" s="75">
        <f>H23-H64</f>
        <v>-19637</v>
      </c>
      <c r="I65" s="75">
        <f t="shared" si="6"/>
        <v>-42632.739999999991</v>
      </c>
      <c r="J65" s="82">
        <f t="shared" si="4"/>
        <v>-2.1710414014360642</v>
      </c>
      <c r="K65" s="77"/>
      <c r="L65" s="69"/>
    </row>
    <row r="66" spans="1:12" s="76" customFormat="1" ht="30" customHeight="1">
      <c r="A66" s="61"/>
      <c r="B66" s="61" t="s">
        <v>62</v>
      </c>
      <c r="C66" s="61"/>
      <c r="D66" s="61"/>
      <c r="E66" s="61"/>
      <c r="F66" s="61"/>
      <c r="G66" s="75"/>
      <c r="H66" s="75"/>
      <c r="J66" s="82"/>
      <c r="K66" s="77"/>
      <c r="L66" s="69"/>
    </row>
    <row r="67" spans="1:12" s="76" customFormat="1">
      <c r="A67" s="61"/>
      <c r="B67" s="61"/>
      <c r="C67" s="61" t="s">
        <v>63</v>
      </c>
      <c r="D67" s="61"/>
      <c r="E67" s="61"/>
      <c r="F67" s="61"/>
      <c r="G67" s="75"/>
      <c r="H67" s="75"/>
      <c r="J67" s="82"/>
      <c r="K67" s="77"/>
      <c r="L67" s="69"/>
    </row>
    <row r="68" spans="1:12" s="76" customFormat="1">
      <c r="A68" s="61"/>
      <c r="B68" s="61"/>
      <c r="C68" s="61"/>
      <c r="D68" s="61" t="s">
        <v>63</v>
      </c>
      <c r="E68" s="61"/>
      <c r="F68" s="61"/>
      <c r="G68" s="75"/>
      <c r="H68" s="75"/>
      <c r="J68" s="82"/>
      <c r="K68" s="77"/>
      <c r="L68" s="69"/>
    </row>
    <row r="69" spans="1:12" s="76" customFormat="1">
      <c r="A69" s="61"/>
      <c r="B69" s="61"/>
      <c r="C69" s="61"/>
      <c r="D69" s="61"/>
      <c r="E69" s="61" t="s">
        <v>64</v>
      </c>
      <c r="F69" s="61"/>
      <c r="G69" s="75">
        <f>'2015 projection'!I70</f>
        <v>48836</v>
      </c>
      <c r="H69" s="75">
        <v>44000</v>
      </c>
      <c r="I69" s="75">
        <f t="shared" ref="I69:I72" si="7">H69-G69</f>
        <v>-4836</v>
      </c>
      <c r="J69" s="82">
        <f t="shared" si="4"/>
        <v>0.10990909090909091</v>
      </c>
      <c r="K69" s="77"/>
      <c r="L69" s="69"/>
    </row>
    <row r="70" spans="1:12" s="76" customFormat="1">
      <c r="A70" s="61"/>
      <c r="B70" s="61"/>
      <c r="C70" s="61"/>
      <c r="D70" s="61"/>
      <c r="E70" s="61" t="s">
        <v>65</v>
      </c>
      <c r="F70" s="61"/>
      <c r="G70" s="75">
        <f>'2015 projection'!I71</f>
        <v>255501</v>
      </c>
      <c r="H70" s="75">
        <v>255523</v>
      </c>
      <c r="I70" s="75">
        <f t="shared" si="7"/>
        <v>22</v>
      </c>
      <c r="J70" s="82">
        <f t="shared" si="4"/>
        <v>-8.6097924648661768E-5</v>
      </c>
      <c r="K70" s="77"/>
      <c r="L70" s="69"/>
    </row>
    <row r="71" spans="1:12" s="76" customFormat="1">
      <c r="A71" s="61"/>
      <c r="B71" s="61"/>
      <c r="C71" s="61"/>
      <c r="D71" s="61"/>
      <c r="E71" s="91" t="s">
        <v>147</v>
      </c>
      <c r="F71" s="61"/>
      <c r="G71" s="75">
        <f>'2015 projection'!I73</f>
        <v>13161</v>
      </c>
      <c r="H71" s="75">
        <v>493661</v>
      </c>
      <c r="I71" s="75">
        <f t="shared" ref="I71" si="8">H71-G71</f>
        <v>480500</v>
      </c>
      <c r="J71" s="82">
        <f t="shared" ref="J71" si="9">(G71-H71)/H71</f>
        <v>-0.97334000457804037</v>
      </c>
      <c r="K71" s="77"/>
      <c r="L71" s="90"/>
    </row>
    <row r="72" spans="1:12" s="76" customFormat="1">
      <c r="A72" s="61"/>
      <c r="B72" s="61"/>
      <c r="C72" s="61"/>
      <c r="D72" s="61" t="s">
        <v>67</v>
      </c>
      <c r="E72" s="61"/>
      <c r="F72" s="61"/>
      <c r="G72" s="75">
        <f>'2015 projection'!I74</f>
        <v>317542.84000000003</v>
      </c>
      <c r="H72" s="75">
        <f>SUM(H69:H71)</f>
        <v>793184</v>
      </c>
      <c r="I72" s="75">
        <f t="shared" si="7"/>
        <v>475641.16</v>
      </c>
      <c r="J72" s="82">
        <f t="shared" si="4"/>
        <v>-0.59966055795376605</v>
      </c>
      <c r="K72" s="77"/>
      <c r="L72" s="69"/>
    </row>
    <row r="73" spans="1:12" s="76" customFormat="1" ht="30" customHeight="1">
      <c r="A73" s="61"/>
      <c r="B73" s="61"/>
      <c r="C73" s="61" t="s">
        <v>68</v>
      </c>
      <c r="D73" s="61"/>
      <c r="E73" s="61"/>
      <c r="F73" s="61"/>
      <c r="G73" s="75"/>
      <c r="H73" s="75"/>
      <c r="J73" s="82"/>
      <c r="K73" s="77"/>
      <c r="L73" s="69"/>
    </row>
    <row r="74" spans="1:12" s="76" customFormat="1">
      <c r="A74" s="61"/>
      <c r="B74" s="61"/>
      <c r="C74" s="61"/>
      <c r="D74" s="61" t="s">
        <v>69</v>
      </c>
      <c r="E74" s="61"/>
      <c r="F74" s="61"/>
      <c r="G74" s="75"/>
      <c r="H74" s="75"/>
      <c r="J74" s="82"/>
      <c r="K74" s="77"/>
      <c r="L74" s="69"/>
    </row>
    <row r="75" spans="1:12" s="76" customFormat="1">
      <c r="A75" s="61"/>
      <c r="B75" s="61"/>
      <c r="C75" s="61"/>
      <c r="D75" s="61"/>
      <c r="E75" s="61" t="s">
        <v>70</v>
      </c>
      <c r="F75" s="61"/>
      <c r="G75" s="75">
        <f>'2015 projection'!I79</f>
        <v>34893</v>
      </c>
      <c r="H75" s="75">
        <v>34824</v>
      </c>
      <c r="I75" s="75">
        <f t="shared" ref="I75:I83" si="10">H75-G75</f>
        <v>-69</v>
      </c>
      <c r="J75" s="82">
        <f t="shared" si="4"/>
        <v>1.9813921433494142E-3</v>
      </c>
      <c r="K75" s="77"/>
      <c r="L75" s="69"/>
    </row>
    <row r="76" spans="1:12" s="76" customFormat="1">
      <c r="A76" s="61"/>
      <c r="B76" s="61"/>
      <c r="C76" s="61"/>
      <c r="D76" s="61"/>
      <c r="E76" s="61" t="s">
        <v>71</v>
      </c>
      <c r="F76" s="61"/>
      <c r="G76" s="75">
        <f>'2015 projection'!I80</f>
        <v>93339</v>
      </c>
      <c r="H76" s="79">
        <v>93340</v>
      </c>
      <c r="I76" s="75">
        <f t="shared" si="10"/>
        <v>1</v>
      </c>
      <c r="J76" s="82">
        <f t="shared" si="4"/>
        <v>-1.0713520462824084E-5</v>
      </c>
      <c r="K76" s="77"/>
      <c r="L76" s="69"/>
    </row>
    <row r="77" spans="1:12" s="76" customFormat="1">
      <c r="A77" s="61"/>
      <c r="B77" s="61"/>
      <c r="C77" s="61"/>
      <c r="D77" s="61"/>
      <c r="E77" s="61" t="s">
        <v>72</v>
      </c>
      <c r="F77" s="61"/>
      <c r="G77" s="75">
        <f>'2015 projection'!I81</f>
        <v>30603</v>
      </c>
      <c r="H77" s="79">
        <v>30603</v>
      </c>
      <c r="I77" s="75">
        <f t="shared" si="10"/>
        <v>0</v>
      </c>
      <c r="J77" s="82">
        <f t="shared" si="4"/>
        <v>0</v>
      </c>
      <c r="K77" s="77"/>
      <c r="L77" s="69"/>
    </row>
    <row r="78" spans="1:12" s="76" customFormat="1">
      <c r="A78" s="61"/>
      <c r="B78" s="61"/>
      <c r="C78" s="61"/>
      <c r="D78" s="61"/>
      <c r="E78" s="70" t="s">
        <v>135</v>
      </c>
      <c r="F78" s="61"/>
      <c r="G78" s="75">
        <f>'2015 projection'!I82</f>
        <v>39000</v>
      </c>
      <c r="H78" s="79">
        <v>39000</v>
      </c>
      <c r="I78" s="75">
        <f t="shared" si="10"/>
        <v>0</v>
      </c>
      <c r="J78" s="82">
        <f t="shared" si="4"/>
        <v>0</v>
      </c>
      <c r="K78" s="77"/>
      <c r="L78" s="69"/>
    </row>
    <row r="79" spans="1:12" s="76" customFormat="1">
      <c r="A79" s="61"/>
      <c r="B79" s="61"/>
      <c r="C79" s="61"/>
      <c r="D79" s="61"/>
      <c r="E79" s="70" t="s">
        <v>136</v>
      </c>
      <c r="F79" s="61"/>
      <c r="G79" s="75">
        <f>'2015 projection'!I83</f>
        <v>17300</v>
      </c>
      <c r="H79" s="79">
        <v>17300</v>
      </c>
      <c r="I79" s="75">
        <f t="shared" si="10"/>
        <v>0</v>
      </c>
      <c r="J79" s="82">
        <f t="shared" si="4"/>
        <v>0</v>
      </c>
      <c r="K79" s="77"/>
      <c r="L79" s="69"/>
    </row>
    <row r="80" spans="1:12" s="77" customFormat="1">
      <c r="A80" s="61"/>
      <c r="B80" s="61"/>
      <c r="C80" s="61"/>
      <c r="D80" s="61"/>
      <c r="E80" s="70" t="s">
        <v>140</v>
      </c>
      <c r="F80" s="61"/>
      <c r="G80" s="75">
        <f>'2015 projection'!I84</f>
        <v>12377</v>
      </c>
      <c r="H80" s="75">
        <v>5000</v>
      </c>
      <c r="I80" s="75">
        <f t="shared" si="10"/>
        <v>-7377</v>
      </c>
      <c r="J80" s="82">
        <f t="shared" si="4"/>
        <v>1.4754</v>
      </c>
      <c r="L80" s="69"/>
    </row>
    <row r="81" spans="1:12" s="77" customFormat="1">
      <c r="A81" s="61"/>
      <c r="B81" s="61"/>
      <c r="C81" s="61"/>
      <c r="D81" s="61"/>
      <c r="E81" s="70" t="s">
        <v>144</v>
      </c>
      <c r="F81" s="61"/>
      <c r="G81" s="75">
        <f>'2015 projection'!I85</f>
        <v>77000</v>
      </c>
      <c r="H81" s="75">
        <v>77000</v>
      </c>
      <c r="I81" s="75">
        <f t="shared" si="10"/>
        <v>0</v>
      </c>
      <c r="J81" s="82">
        <f t="shared" si="4"/>
        <v>0</v>
      </c>
      <c r="L81" s="69"/>
    </row>
    <row r="82" spans="1:12" s="77" customFormat="1">
      <c r="A82" s="61"/>
      <c r="B82" s="61"/>
      <c r="C82" s="61"/>
      <c r="D82" s="61" t="s">
        <v>74</v>
      </c>
      <c r="E82" s="61"/>
      <c r="F82" s="61"/>
      <c r="G82" s="75">
        <f>'2015 projection'!I86</f>
        <v>304512</v>
      </c>
      <c r="H82" s="75">
        <f>SUM(H75:H81)</f>
        <v>297067</v>
      </c>
      <c r="I82" s="75">
        <f t="shared" si="10"/>
        <v>-7445</v>
      </c>
      <c r="J82" s="82">
        <f t="shared" si="4"/>
        <v>2.5061686420908415E-2</v>
      </c>
      <c r="L82" s="69"/>
    </row>
    <row r="83" spans="1:12" s="77" customFormat="1" ht="30" customHeight="1">
      <c r="A83" s="61"/>
      <c r="B83" s="61" t="s">
        <v>75</v>
      </c>
      <c r="C83" s="61"/>
      <c r="D83" s="61"/>
      <c r="E83" s="61"/>
      <c r="F83" s="61"/>
      <c r="G83" s="75">
        <f>'2015 projection'!I87</f>
        <v>13030.84</v>
      </c>
      <c r="H83" s="75">
        <f>H72-H82</f>
        <v>496117</v>
      </c>
      <c r="I83" s="75">
        <f t="shared" si="10"/>
        <v>483086.16</v>
      </c>
      <c r="J83" s="82">
        <f t="shared" si="4"/>
        <v>-0.97373434089136224</v>
      </c>
      <c r="L83" s="69"/>
    </row>
    <row r="84" spans="1:12" s="71" customFormat="1" ht="30" customHeight="1">
      <c r="A84" s="61" t="s">
        <v>76</v>
      </c>
      <c r="B84" s="61"/>
      <c r="C84" s="61"/>
      <c r="D84" s="61"/>
      <c r="E84" s="61"/>
      <c r="F84" s="61"/>
      <c r="G84" s="75">
        <f>'2015 projection'!I88</f>
        <v>36026.579999999987</v>
      </c>
      <c r="H84" s="78">
        <f>H65+H83</f>
        <v>476480</v>
      </c>
      <c r="I84" s="75">
        <f>H84-G84</f>
        <v>440453.42000000004</v>
      </c>
      <c r="J84" s="82">
        <f t="shared" si="4"/>
        <v>-0.92439015278710557</v>
      </c>
    </row>
    <row r="86" spans="1:12" s="77" customFormat="1">
      <c r="A86" s="64"/>
      <c r="B86" s="64"/>
      <c r="C86" s="64"/>
      <c r="D86" s="64"/>
      <c r="E86" s="64"/>
      <c r="F86" s="80"/>
      <c r="G86" s="80"/>
      <c r="H86" s="80"/>
      <c r="I86" s="80"/>
      <c r="J86" s="83"/>
      <c r="L86" s="69"/>
    </row>
  </sheetData>
  <pageMargins left="0.7" right="0.7" top="0.75" bottom="0.75" header="0.25" footer="0.3"/>
  <pageSetup scale="60" fitToHeight="2" orientation="portrait" horizontalDpi="4294967293" verticalDpi="0" r:id="rId1"/>
  <headerFooter>
    <oddHeader>&amp;L&amp;"Arial,Bold"&amp;8&amp;D&amp;C&amp;"Arial,Bold"&amp;12 Lake Durango Water Authority
2015 Budget vs Actual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workbookViewId="0">
      <selection activeCell="C5" sqref="C5"/>
    </sheetView>
  </sheetViews>
  <sheetFormatPr defaultRowHeight="12.75"/>
  <cols>
    <col min="1" max="1" width="21" style="13" customWidth="1"/>
    <col min="2" max="2" width="25.85546875" style="13" customWidth="1"/>
    <col min="3" max="6" width="9.140625" style="13"/>
    <col min="7" max="7" width="10.140625" style="13" customWidth="1"/>
    <col min="8" max="9" width="9.140625" style="13"/>
    <col min="10" max="10" width="12.5703125" style="13" customWidth="1"/>
    <col min="11" max="256" width="9.140625" style="13"/>
    <col min="257" max="257" width="21" style="13" customWidth="1"/>
    <col min="258" max="258" width="25.85546875" style="13" customWidth="1"/>
    <col min="259" max="262" width="9.140625" style="13"/>
    <col min="263" max="263" width="10.140625" style="13" customWidth="1"/>
    <col min="264" max="512" width="9.140625" style="13"/>
    <col min="513" max="513" width="21" style="13" customWidth="1"/>
    <col min="514" max="514" width="25.85546875" style="13" customWidth="1"/>
    <col min="515" max="518" width="9.140625" style="13"/>
    <col min="519" max="519" width="10.140625" style="13" customWidth="1"/>
    <col min="520" max="768" width="9.140625" style="13"/>
    <col min="769" max="769" width="21" style="13" customWidth="1"/>
    <col min="770" max="770" width="25.85546875" style="13" customWidth="1"/>
    <col min="771" max="774" width="9.140625" style="13"/>
    <col min="775" max="775" width="10.140625" style="13" customWidth="1"/>
    <col min="776" max="1024" width="9.140625" style="13"/>
    <col min="1025" max="1025" width="21" style="13" customWidth="1"/>
    <col min="1026" max="1026" width="25.85546875" style="13" customWidth="1"/>
    <col min="1027" max="1030" width="9.140625" style="13"/>
    <col min="1031" max="1031" width="10.140625" style="13" customWidth="1"/>
    <col min="1032" max="1280" width="9.140625" style="13"/>
    <col min="1281" max="1281" width="21" style="13" customWidth="1"/>
    <col min="1282" max="1282" width="25.85546875" style="13" customWidth="1"/>
    <col min="1283" max="1286" width="9.140625" style="13"/>
    <col min="1287" max="1287" width="10.140625" style="13" customWidth="1"/>
    <col min="1288" max="1536" width="9.140625" style="13"/>
    <col min="1537" max="1537" width="21" style="13" customWidth="1"/>
    <col min="1538" max="1538" width="25.85546875" style="13" customWidth="1"/>
    <col min="1539" max="1542" width="9.140625" style="13"/>
    <col min="1543" max="1543" width="10.140625" style="13" customWidth="1"/>
    <col min="1544" max="1792" width="9.140625" style="13"/>
    <col min="1793" max="1793" width="21" style="13" customWidth="1"/>
    <col min="1794" max="1794" width="25.85546875" style="13" customWidth="1"/>
    <col min="1795" max="1798" width="9.140625" style="13"/>
    <col min="1799" max="1799" width="10.140625" style="13" customWidth="1"/>
    <col min="1800" max="2048" width="9.140625" style="13"/>
    <col min="2049" max="2049" width="21" style="13" customWidth="1"/>
    <col min="2050" max="2050" width="25.85546875" style="13" customWidth="1"/>
    <col min="2051" max="2054" width="9.140625" style="13"/>
    <col min="2055" max="2055" width="10.140625" style="13" customWidth="1"/>
    <col min="2056" max="2304" width="9.140625" style="13"/>
    <col min="2305" max="2305" width="21" style="13" customWidth="1"/>
    <col min="2306" max="2306" width="25.85546875" style="13" customWidth="1"/>
    <col min="2307" max="2310" width="9.140625" style="13"/>
    <col min="2311" max="2311" width="10.140625" style="13" customWidth="1"/>
    <col min="2312" max="2560" width="9.140625" style="13"/>
    <col min="2561" max="2561" width="21" style="13" customWidth="1"/>
    <col min="2562" max="2562" width="25.85546875" style="13" customWidth="1"/>
    <col min="2563" max="2566" width="9.140625" style="13"/>
    <col min="2567" max="2567" width="10.140625" style="13" customWidth="1"/>
    <col min="2568" max="2816" width="9.140625" style="13"/>
    <col min="2817" max="2817" width="21" style="13" customWidth="1"/>
    <col min="2818" max="2818" width="25.85546875" style="13" customWidth="1"/>
    <col min="2819" max="2822" width="9.140625" style="13"/>
    <col min="2823" max="2823" width="10.140625" style="13" customWidth="1"/>
    <col min="2824" max="3072" width="9.140625" style="13"/>
    <col min="3073" max="3073" width="21" style="13" customWidth="1"/>
    <col min="3074" max="3074" width="25.85546875" style="13" customWidth="1"/>
    <col min="3075" max="3078" width="9.140625" style="13"/>
    <col min="3079" max="3079" width="10.140625" style="13" customWidth="1"/>
    <col min="3080" max="3328" width="9.140625" style="13"/>
    <col min="3329" max="3329" width="21" style="13" customWidth="1"/>
    <col min="3330" max="3330" width="25.85546875" style="13" customWidth="1"/>
    <col min="3331" max="3334" width="9.140625" style="13"/>
    <col min="3335" max="3335" width="10.140625" style="13" customWidth="1"/>
    <col min="3336" max="3584" width="9.140625" style="13"/>
    <col min="3585" max="3585" width="21" style="13" customWidth="1"/>
    <col min="3586" max="3586" width="25.85546875" style="13" customWidth="1"/>
    <col min="3587" max="3590" width="9.140625" style="13"/>
    <col min="3591" max="3591" width="10.140625" style="13" customWidth="1"/>
    <col min="3592" max="3840" width="9.140625" style="13"/>
    <col min="3841" max="3841" width="21" style="13" customWidth="1"/>
    <col min="3842" max="3842" width="25.85546875" style="13" customWidth="1"/>
    <col min="3843" max="3846" width="9.140625" style="13"/>
    <col min="3847" max="3847" width="10.140625" style="13" customWidth="1"/>
    <col min="3848" max="4096" width="9.140625" style="13"/>
    <col min="4097" max="4097" width="21" style="13" customWidth="1"/>
    <col min="4098" max="4098" width="25.85546875" style="13" customWidth="1"/>
    <col min="4099" max="4102" width="9.140625" style="13"/>
    <col min="4103" max="4103" width="10.140625" style="13" customWidth="1"/>
    <col min="4104" max="4352" width="9.140625" style="13"/>
    <col min="4353" max="4353" width="21" style="13" customWidth="1"/>
    <col min="4354" max="4354" width="25.85546875" style="13" customWidth="1"/>
    <col min="4355" max="4358" width="9.140625" style="13"/>
    <col min="4359" max="4359" width="10.140625" style="13" customWidth="1"/>
    <col min="4360" max="4608" width="9.140625" style="13"/>
    <col min="4609" max="4609" width="21" style="13" customWidth="1"/>
    <col min="4610" max="4610" width="25.85546875" style="13" customWidth="1"/>
    <col min="4611" max="4614" width="9.140625" style="13"/>
    <col min="4615" max="4615" width="10.140625" style="13" customWidth="1"/>
    <col min="4616" max="4864" width="9.140625" style="13"/>
    <col min="4865" max="4865" width="21" style="13" customWidth="1"/>
    <col min="4866" max="4866" width="25.85546875" style="13" customWidth="1"/>
    <col min="4867" max="4870" width="9.140625" style="13"/>
    <col min="4871" max="4871" width="10.140625" style="13" customWidth="1"/>
    <col min="4872" max="5120" width="9.140625" style="13"/>
    <col min="5121" max="5121" width="21" style="13" customWidth="1"/>
    <col min="5122" max="5122" width="25.85546875" style="13" customWidth="1"/>
    <col min="5123" max="5126" width="9.140625" style="13"/>
    <col min="5127" max="5127" width="10.140625" style="13" customWidth="1"/>
    <col min="5128" max="5376" width="9.140625" style="13"/>
    <col min="5377" max="5377" width="21" style="13" customWidth="1"/>
    <col min="5378" max="5378" width="25.85546875" style="13" customWidth="1"/>
    <col min="5379" max="5382" width="9.140625" style="13"/>
    <col min="5383" max="5383" width="10.140625" style="13" customWidth="1"/>
    <col min="5384" max="5632" width="9.140625" style="13"/>
    <col min="5633" max="5633" width="21" style="13" customWidth="1"/>
    <col min="5634" max="5634" width="25.85546875" style="13" customWidth="1"/>
    <col min="5635" max="5638" width="9.140625" style="13"/>
    <col min="5639" max="5639" width="10.140625" style="13" customWidth="1"/>
    <col min="5640" max="5888" width="9.140625" style="13"/>
    <col min="5889" max="5889" width="21" style="13" customWidth="1"/>
    <col min="5890" max="5890" width="25.85546875" style="13" customWidth="1"/>
    <col min="5891" max="5894" width="9.140625" style="13"/>
    <col min="5895" max="5895" width="10.140625" style="13" customWidth="1"/>
    <col min="5896" max="6144" width="9.140625" style="13"/>
    <col min="6145" max="6145" width="21" style="13" customWidth="1"/>
    <col min="6146" max="6146" width="25.85546875" style="13" customWidth="1"/>
    <col min="6147" max="6150" width="9.140625" style="13"/>
    <col min="6151" max="6151" width="10.140625" style="13" customWidth="1"/>
    <col min="6152" max="6400" width="9.140625" style="13"/>
    <col min="6401" max="6401" width="21" style="13" customWidth="1"/>
    <col min="6402" max="6402" width="25.85546875" style="13" customWidth="1"/>
    <col min="6403" max="6406" width="9.140625" style="13"/>
    <col min="6407" max="6407" width="10.140625" style="13" customWidth="1"/>
    <col min="6408" max="6656" width="9.140625" style="13"/>
    <col min="6657" max="6657" width="21" style="13" customWidth="1"/>
    <col min="6658" max="6658" width="25.85546875" style="13" customWidth="1"/>
    <col min="6659" max="6662" width="9.140625" style="13"/>
    <col min="6663" max="6663" width="10.140625" style="13" customWidth="1"/>
    <col min="6664" max="6912" width="9.140625" style="13"/>
    <col min="6913" max="6913" width="21" style="13" customWidth="1"/>
    <col min="6914" max="6914" width="25.85546875" style="13" customWidth="1"/>
    <col min="6915" max="6918" width="9.140625" style="13"/>
    <col min="6919" max="6919" width="10.140625" style="13" customWidth="1"/>
    <col min="6920" max="7168" width="9.140625" style="13"/>
    <col min="7169" max="7169" width="21" style="13" customWidth="1"/>
    <col min="7170" max="7170" width="25.85546875" style="13" customWidth="1"/>
    <col min="7171" max="7174" width="9.140625" style="13"/>
    <col min="7175" max="7175" width="10.140625" style="13" customWidth="1"/>
    <col min="7176" max="7424" width="9.140625" style="13"/>
    <col min="7425" max="7425" width="21" style="13" customWidth="1"/>
    <col min="7426" max="7426" width="25.85546875" style="13" customWidth="1"/>
    <col min="7427" max="7430" width="9.140625" style="13"/>
    <col min="7431" max="7431" width="10.140625" style="13" customWidth="1"/>
    <col min="7432" max="7680" width="9.140625" style="13"/>
    <col min="7681" max="7681" width="21" style="13" customWidth="1"/>
    <col min="7682" max="7682" width="25.85546875" style="13" customWidth="1"/>
    <col min="7683" max="7686" width="9.140625" style="13"/>
    <col min="7687" max="7687" width="10.140625" style="13" customWidth="1"/>
    <col min="7688" max="7936" width="9.140625" style="13"/>
    <col min="7937" max="7937" width="21" style="13" customWidth="1"/>
    <col min="7938" max="7938" width="25.85546875" style="13" customWidth="1"/>
    <col min="7939" max="7942" width="9.140625" style="13"/>
    <col min="7943" max="7943" width="10.140625" style="13" customWidth="1"/>
    <col min="7944" max="8192" width="9.140625" style="13"/>
    <col min="8193" max="8193" width="21" style="13" customWidth="1"/>
    <col min="8194" max="8194" width="25.85546875" style="13" customWidth="1"/>
    <col min="8195" max="8198" width="9.140625" style="13"/>
    <col min="8199" max="8199" width="10.140625" style="13" customWidth="1"/>
    <col min="8200" max="8448" width="9.140625" style="13"/>
    <col min="8449" max="8449" width="21" style="13" customWidth="1"/>
    <col min="8450" max="8450" width="25.85546875" style="13" customWidth="1"/>
    <col min="8451" max="8454" width="9.140625" style="13"/>
    <col min="8455" max="8455" width="10.140625" style="13" customWidth="1"/>
    <col min="8456" max="8704" width="9.140625" style="13"/>
    <col min="8705" max="8705" width="21" style="13" customWidth="1"/>
    <col min="8706" max="8706" width="25.85546875" style="13" customWidth="1"/>
    <col min="8707" max="8710" width="9.140625" style="13"/>
    <col min="8711" max="8711" width="10.140625" style="13" customWidth="1"/>
    <col min="8712" max="8960" width="9.140625" style="13"/>
    <col min="8961" max="8961" width="21" style="13" customWidth="1"/>
    <col min="8962" max="8962" width="25.85546875" style="13" customWidth="1"/>
    <col min="8963" max="8966" width="9.140625" style="13"/>
    <col min="8967" max="8967" width="10.140625" style="13" customWidth="1"/>
    <col min="8968" max="9216" width="9.140625" style="13"/>
    <col min="9217" max="9217" width="21" style="13" customWidth="1"/>
    <col min="9218" max="9218" width="25.85546875" style="13" customWidth="1"/>
    <col min="9219" max="9222" width="9.140625" style="13"/>
    <col min="9223" max="9223" width="10.140625" style="13" customWidth="1"/>
    <col min="9224" max="9472" width="9.140625" style="13"/>
    <col min="9473" max="9473" width="21" style="13" customWidth="1"/>
    <col min="9474" max="9474" width="25.85546875" style="13" customWidth="1"/>
    <col min="9475" max="9478" width="9.140625" style="13"/>
    <col min="9479" max="9479" width="10.140625" style="13" customWidth="1"/>
    <col min="9480" max="9728" width="9.140625" style="13"/>
    <col min="9729" max="9729" width="21" style="13" customWidth="1"/>
    <col min="9730" max="9730" width="25.85546875" style="13" customWidth="1"/>
    <col min="9731" max="9734" width="9.140625" style="13"/>
    <col min="9735" max="9735" width="10.140625" style="13" customWidth="1"/>
    <col min="9736" max="9984" width="9.140625" style="13"/>
    <col min="9985" max="9985" width="21" style="13" customWidth="1"/>
    <col min="9986" max="9986" width="25.85546875" style="13" customWidth="1"/>
    <col min="9987" max="9990" width="9.140625" style="13"/>
    <col min="9991" max="9991" width="10.140625" style="13" customWidth="1"/>
    <col min="9992" max="10240" width="9.140625" style="13"/>
    <col min="10241" max="10241" width="21" style="13" customWidth="1"/>
    <col min="10242" max="10242" width="25.85546875" style="13" customWidth="1"/>
    <col min="10243" max="10246" width="9.140625" style="13"/>
    <col min="10247" max="10247" width="10.140625" style="13" customWidth="1"/>
    <col min="10248" max="10496" width="9.140625" style="13"/>
    <col min="10497" max="10497" width="21" style="13" customWidth="1"/>
    <col min="10498" max="10498" width="25.85546875" style="13" customWidth="1"/>
    <col min="10499" max="10502" width="9.140625" style="13"/>
    <col min="10503" max="10503" width="10.140625" style="13" customWidth="1"/>
    <col min="10504" max="10752" width="9.140625" style="13"/>
    <col min="10753" max="10753" width="21" style="13" customWidth="1"/>
    <col min="10754" max="10754" width="25.85546875" style="13" customWidth="1"/>
    <col min="10755" max="10758" width="9.140625" style="13"/>
    <col min="10759" max="10759" width="10.140625" style="13" customWidth="1"/>
    <col min="10760" max="11008" width="9.140625" style="13"/>
    <col min="11009" max="11009" width="21" style="13" customWidth="1"/>
    <col min="11010" max="11010" width="25.85546875" style="13" customWidth="1"/>
    <col min="11011" max="11014" width="9.140625" style="13"/>
    <col min="11015" max="11015" width="10.140625" style="13" customWidth="1"/>
    <col min="11016" max="11264" width="9.140625" style="13"/>
    <col min="11265" max="11265" width="21" style="13" customWidth="1"/>
    <col min="11266" max="11266" width="25.85546875" style="13" customWidth="1"/>
    <col min="11267" max="11270" width="9.140625" style="13"/>
    <col min="11271" max="11271" width="10.140625" style="13" customWidth="1"/>
    <col min="11272" max="11520" width="9.140625" style="13"/>
    <col min="11521" max="11521" width="21" style="13" customWidth="1"/>
    <col min="11522" max="11522" width="25.85546875" style="13" customWidth="1"/>
    <col min="11523" max="11526" width="9.140625" style="13"/>
    <col min="11527" max="11527" width="10.140625" style="13" customWidth="1"/>
    <col min="11528" max="11776" width="9.140625" style="13"/>
    <col min="11777" max="11777" width="21" style="13" customWidth="1"/>
    <col min="11778" max="11778" width="25.85546875" style="13" customWidth="1"/>
    <col min="11779" max="11782" width="9.140625" style="13"/>
    <col min="11783" max="11783" width="10.140625" style="13" customWidth="1"/>
    <col min="11784" max="12032" width="9.140625" style="13"/>
    <col min="12033" max="12033" width="21" style="13" customWidth="1"/>
    <col min="12034" max="12034" width="25.85546875" style="13" customWidth="1"/>
    <col min="12035" max="12038" width="9.140625" style="13"/>
    <col min="12039" max="12039" width="10.140625" style="13" customWidth="1"/>
    <col min="12040" max="12288" width="9.140625" style="13"/>
    <col min="12289" max="12289" width="21" style="13" customWidth="1"/>
    <col min="12290" max="12290" width="25.85546875" style="13" customWidth="1"/>
    <col min="12291" max="12294" width="9.140625" style="13"/>
    <col min="12295" max="12295" width="10.140625" style="13" customWidth="1"/>
    <col min="12296" max="12544" width="9.140625" style="13"/>
    <col min="12545" max="12545" width="21" style="13" customWidth="1"/>
    <col min="12546" max="12546" width="25.85546875" style="13" customWidth="1"/>
    <col min="12547" max="12550" width="9.140625" style="13"/>
    <col min="12551" max="12551" width="10.140625" style="13" customWidth="1"/>
    <col min="12552" max="12800" width="9.140625" style="13"/>
    <col min="12801" max="12801" width="21" style="13" customWidth="1"/>
    <col min="12802" max="12802" width="25.85546875" style="13" customWidth="1"/>
    <col min="12803" max="12806" width="9.140625" style="13"/>
    <col min="12807" max="12807" width="10.140625" style="13" customWidth="1"/>
    <col min="12808" max="13056" width="9.140625" style="13"/>
    <col min="13057" max="13057" width="21" style="13" customWidth="1"/>
    <col min="13058" max="13058" width="25.85546875" style="13" customWidth="1"/>
    <col min="13059" max="13062" width="9.140625" style="13"/>
    <col min="13063" max="13063" width="10.140625" style="13" customWidth="1"/>
    <col min="13064" max="13312" width="9.140625" style="13"/>
    <col min="13313" max="13313" width="21" style="13" customWidth="1"/>
    <col min="13314" max="13314" width="25.85546875" style="13" customWidth="1"/>
    <col min="13315" max="13318" width="9.140625" style="13"/>
    <col min="13319" max="13319" width="10.140625" style="13" customWidth="1"/>
    <col min="13320" max="13568" width="9.140625" style="13"/>
    <col min="13569" max="13569" width="21" style="13" customWidth="1"/>
    <col min="13570" max="13570" width="25.85546875" style="13" customWidth="1"/>
    <col min="13571" max="13574" width="9.140625" style="13"/>
    <col min="13575" max="13575" width="10.140625" style="13" customWidth="1"/>
    <col min="13576" max="13824" width="9.140625" style="13"/>
    <col min="13825" max="13825" width="21" style="13" customWidth="1"/>
    <col min="13826" max="13826" width="25.85546875" style="13" customWidth="1"/>
    <col min="13827" max="13830" width="9.140625" style="13"/>
    <col min="13831" max="13831" width="10.140625" style="13" customWidth="1"/>
    <col min="13832" max="14080" width="9.140625" style="13"/>
    <col min="14081" max="14081" width="21" style="13" customWidth="1"/>
    <col min="14082" max="14082" width="25.85546875" style="13" customWidth="1"/>
    <col min="14083" max="14086" width="9.140625" style="13"/>
    <col min="14087" max="14087" width="10.140625" style="13" customWidth="1"/>
    <col min="14088" max="14336" width="9.140625" style="13"/>
    <col min="14337" max="14337" width="21" style="13" customWidth="1"/>
    <col min="14338" max="14338" width="25.85546875" style="13" customWidth="1"/>
    <col min="14339" max="14342" width="9.140625" style="13"/>
    <col min="14343" max="14343" width="10.140625" style="13" customWidth="1"/>
    <col min="14344" max="14592" width="9.140625" style="13"/>
    <col min="14593" max="14593" width="21" style="13" customWidth="1"/>
    <col min="14594" max="14594" width="25.85546875" style="13" customWidth="1"/>
    <col min="14595" max="14598" width="9.140625" style="13"/>
    <col min="14599" max="14599" width="10.140625" style="13" customWidth="1"/>
    <col min="14600" max="14848" width="9.140625" style="13"/>
    <col min="14849" max="14849" width="21" style="13" customWidth="1"/>
    <col min="14850" max="14850" width="25.85546875" style="13" customWidth="1"/>
    <col min="14851" max="14854" width="9.140625" style="13"/>
    <col min="14855" max="14855" width="10.140625" style="13" customWidth="1"/>
    <col min="14856" max="15104" width="9.140625" style="13"/>
    <col min="15105" max="15105" width="21" style="13" customWidth="1"/>
    <col min="15106" max="15106" width="25.85546875" style="13" customWidth="1"/>
    <col min="15107" max="15110" width="9.140625" style="13"/>
    <col min="15111" max="15111" width="10.140625" style="13" customWidth="1"/>
    <col min="15112" max="15360" width="9.140625" style="13"/>
    <col min="15361" max="15361" width="21" style="13" customWidth="1"/>
    <col min="15362" max="15362" width="25.85546875" style="13" customWidth="1"/>
    <col min="15363" max="15366" width="9.140625" style="13"/>
    <col min="15367" max="15367" width="10.140625" style="13" customWidth="1"/>
    <col min="15368" max="15616" width="9.140625" style="13"/>
    <col min="15617" max="15617" width="21" style="13" customWidth="1"/>
    <col min="15618" max="15618" width="25.85546875" style="13" customWidth="1"/>
    <col min="15619" max="15622" width="9.140625" style="13"/>
    <col min="15623" max="15623" width="10.140625" style="13" customWidth="1"/>
    <col min="15624" max="15872" width="9.140625" style="13"/>
    <col min="15873" max="15873" width="21" style="13" customWidth="1"/>
    <col min="15874" max="15874" width="25.85546875" style="13" customWidth="1"/>
    <col min="15875" max="15878" width="9.140625" style="13"/>
    <col min="15879" max="15879" width="10.140625" style="13" customWidth="1"/>
    <col min="15880" max="16128" width="9.140625" style="13"/>
    <col min="16129" max="16129" width="21" style="13" customWidth="1"/>
    <col min="16130" max="16130" width="25.85546875" style="13" customWidth="1"/>
    <col min="16131" max="16134" width="9.140625" style="13"/>
    <col min="16135" max="16135" width="10.140625" style="13" customWidth="1"/>
    <col min="16136" max="16384" width="9.140625" style="13"/>
  </cols>
  <sheetData>
    <row r="3" spans="1:11" ht="45">
      <c r="A3" s="7" t="s">
        <v>170</v>
      </c>
      <c r="B3" s="8" t="s">
        <v>77</v>
      </c>
      <c r="C3" s="9" t="s">
        <v>78</v>
      </c>
      <c r="D3" s="10" t="s">
        <v>79</v>
      </c>
      <c r="E3" s="9" t="s">
        <v>80</v>
      </c>
      <c r="F3" s="11" t="s">
        <v>81</v>
      </c>
      <c r="G3" s="11"/>
      <c r="H3" s="11" t="s">
        <v>82</v>
      </c>
      <c r="I3" s="9"/>
      <c r="J3" s="12" t="s">
        <v>83</v>
      </c>
    </row>
    <row r="4" spans="1:11">
      <c r="A4" s="13" t="s">
        <v>84</v>
      </c>
      <c r="B4" s="13" t="s">
        <v>85</v>
      </c>
      <c r="C4" s="14">
        <v>98880</v>
      </c>
      <c r="D4" s="14">
        <v>10852</v>
      </c>
      <c r="E4" s="14"/>
      <c r="F4" s="15">
        <f>C4*0.0765</f>
        <v>7564.32</v>
      </c>
      <c r="G4" s="15"/>
      <c r="H4" s="15">
        <f>C4*0.003</f>
        <v>296.64</v>
      </c>
      <c r="I4" s="15"/>
      <c r="J4" s="16">
        <f t="shared" ref="J4:J8" si="0">SUM(C4:F4)</f>
        <v>117296.32000000001</v>
      </c>
      <c r="K4" s="13" t="s">
        <v>187</v>
      </c>
    </row>
    <row r="5" spans="1:11">
      <c r="A5" s="13" t="s">
        <v>86</v>
      </c>
      <c r="B5" s="13" t="s">
        <v>87</v>
      </c>
      <c r="C5" s="14">
        <v>58889</v>
      </c>
      <c r="D5" s="14">
        <v>10852</v>
      </c>
      <c r="E5" s="14"/>
      <c r="F5" s="15">
        <f>C5*0.0765</f>
        <v>4505.0084999999999</v>
      </c>
      <c r="G5" s="15"/>
      <c r="H5" s="15">
        <f t="shared" ref="H5:H8" si="1">C5*0.003</f>
        <v>176.667</v>
      </c>
      <c r="I5" s="15"/>
      <c r="J5" s="16">
        <f t="shared" si="0"/>
        <v>74246.008499999996</v>
      </c>
      <c r="K5" s="25">
        <v>0.03</v>
      </c>
    </row>
    <row r="6" spans="1:11">
      <c r="A6" s="13" t="s">
        <v>139</v>
      </c>
      <c r="B6" s="13" t="s">
        <v>88</v>
      </c>
      <c r="C6" s="14">
        <v>24899</v>
      </c>
      <c r="D6" s="14"/>
      <c r="E6" s="14"/>
      <c r="F6" s="15">
        <f>C6*0.0765</f>
        <v>1904.7735</v>
      </c>
      <c r="G6" s="15"/>
      <c r="H6" s="15">
        <f t="shared" si="1"/>
        <v>74.697000000000003</v>
      </c>
      <c r="I6" s="15"/>
      <c r="J6" s="16">
        <f t="shared" si="0"/>
        <v>26803.773499999999</v>
      </c>
      <c r="K6" s="13" t="s">
        <v>188</v>
      </c>
    </row>
    <row r="7" spans="1:11">
      <c r="A7" s="13" t="s">
        <v>89</v>
      </c>
      <c r="B7" s="13" t="s">
        <v>90</v>
      </c>
      <c r="C7" s="14"/>
      <c r="D7" s="14"/>
      <c r="E7" s="14">
        <v>35149</v>
      </c>
      <c r="F7" s="15"/>
      <c r="G7" s="15"/>
      <c r="H7" s="15">
        <f t="shared" si="1"/>
        <v>0</v>
      </c>
      <c r="I7" s="15"/>
      <c r="J7" s="16">
        <f t="shared" si="0"/>
        <v>35149</v>
      </c>
      <c r="K7" s="13" t="s">
        <v>103</v>
      </c>
    </row>
    <row r="8" spans="1:11">
      <c r="A8" s="13" t="s">
        <v>91</v>
      </c>
      <c r="B8" s="13" t="s">
        <v>87</v>
      </c>
      <c r="C8" s="14">
        <v>2000</v>
      </c>
      <c r="D8" s="14"/>
      <c r="E8" s="14"/>
      <c r="F8" s="15">
        <f>C8*0.0765</f>
        <v>153</v>
      </c>
      <c r="G8" s="15"/>
      <c r="H8" s="15">
        <f t="shared" si="1"/>
        <v>6</v>
      </c>
      <c r="I8" s="15"/>
      <c r="J8" s="16">
        <f t="shared" si="0"/>
        <v>2153</v>
      </c>
      <c r="K8" s="13" t="s">
        <v>189</v>
      </c>
    </row>
    <row r="9" spans="1:11">
      <c r="A9" s="18" t="s">
        <v>92</v>
      </c>
      <c r="C9" s="19">
        <f>SUM(C4:C8)</f>
        <v>184668</v>
      </c>
      <c r="D9" s="19">
        <f>SUM(D4:D8)</f>
        <v>21704</v>
      </c>
      <c r="E9" s="19">
        <f>SUM(E4:E8)</f>
        <v>35149</v>
      </c>
      <c r="F9" s="19">
        <f>SUM(F4:F8)</f>
        <v>14127.101999999999</v>
      </c>
      <c r="G9" s="19"/>
      <c r="H9" s="19">
        <f>SUM(H4:H8)</f>
        <v>554.00400000000002</v>
      </c>
      <c r="I9" s="19"/>
      <c r="J9" s="20">
        <f>SUM(J4:J8)</f>
        <v>255648.10200000001</v>
      </c>
    </row>
    <row r="10" spans="1:11">
      <c r="A10" s="18"/>
      <c r="C10" s="19"/>
      <c r="D10" s="19"/>
      <c r="E10" s="19"/>
      <c r="F10" s="19"/>
      <c r="G10" s="19"/>
      <c r="H10" s="19"/>
      <c r="I10" s="19"/>
      <c r="J10" s="20"/>
    </row>
    <row r="12" spans="1:11">
      <c r="A12" s="21" t="s">
        <v>93</v>
      </c>
      <c r="B12" s="21" t="s">
        <v>94</v>
      </c>
      <c r="C12" s="21"/>
      <c r="D12" s="21" t="s">
        <v>95</v>
      </c>
      <c r="E12" s="21"/>
      <c r="F12" s="21" t="s">
        <v>96</v>
      </c>
      <c r="G12" s="21"/>
      <c r="H12" s="21" t="s">
        <v>97</v>
      </c>
      <c r="I12" s="21"/>
      <c r="J12" s="21" t="s">
        <v>92</v>
      </c>
    </row>
    <row r="13" spans="1:11">
      <c r="A13" s="13" t="s">
        <v>98</v>
      </c>
      <c r="B13" s="13">
        <f>C4*0.5</f>
        <v>49440</v>
      </c>
      <c r="D13" s="13">
        <f>C4*0.2</f>
        <v>19776</v>
      </c>
      <c r="F13" s="13">
        <f>C4*0.1</f>
        <v>9888</v>
      </c>
      <c r="H13" s="13">
        <f>C4*0.2</f>
        <v>19776</v>
      </c>
      <c r="J13" s="13">
        <f>SUM(B13:H13)</f>
        <v>98880</v>
      </c>
    </row>
    <row r="14" spans="1:11">
      <c r="A14" s="13" t="s">
        <v>99</v>
      </c>
      <c r="B14" s="22">
        <f>C6+C7</f>
        <v>24899</v>
      </c>
      <c r="C14" s="23"/>
      <c r="D14" s="22">
        <f>(C5+C8)*0.7</f>
        <v>42622.299999999996</v>
      </c>
      <c r="E14" s="23"/>
      <c r="F14" s="23">
        <f>(C5+C8)*0.1</f>
        <v>6088.9000000000005</v>
      </c>
      <c r="G14" s="23"/>
      <c r="H14" s="23">
        <f>(C5+C8)*0.2</f>
        <v>12177.800000000001</v>
      </c>
      <c r="I14" s="8"/>
      <c r="J14" s="8">
        <f>SUM(B14:H14)</f>
        <v>85787.999999999985</v>
      </c>
    </row>
    <row r="15" spans="1:11">
      <c r="A15" s="13" t="s">
        <v>92</v>
      </c>
      <c r="B15" s="13">
        <f>SUM(B13:B14)</f>
        <v>74339</v>
      </c>
      <c r="D15" s="13">
        <f>SUM(D13:D14)</f>
        <v>62398.299999999996</v>
      </c>
      <c r="F15" s="13">
        <f>SUM(F13:F14)</f>
        <v>15976.900000000001</v>
      </c>
      <c r="H15" s="13">
        <f>SUM(H13:H14)</f>
        <v>31953.800000000003</v>
      </c>
      <c r="J15" s="13">
        <f>SUM(B15:H15)</f>
        <v>184668</v>
      </c>
    </row>
    <row r="17" spans="1:10" s="16" customFormat="1">
      <c r="A17" s="84" t="s">
        <v>100</v>
      </c>
      <c r="B17" s="16">
        <f>B15*0.1065</f>
        <v>7917.1035000000002</v>
      </c>
      <c r="D17" s="16">
        <f t="shared" ref="D17:J17" si="2">D15*0.1065</f>
        <v>6645.4189499999993</v>
      </c>
      <c r="E17" s="16">
        <f t="shared" si="2"/>
        <v>0</v>
      </c>
      <c r="F17" s="16">
        <f t="shared" si="2"/>
        <v>1701.5398500000001</v>
      </c>
      <c r="G17" s="16">
        <f t="shared" si="2"/>
        <v>0</v>
      </c>
      <c r="H17" s="16">
        <f t="shared" si="2"/>
        <v>3403.0797000000002</v>
      </c>
      <c r="I17" s="16">
        <f t="shared" si="2"/>
        <v>0</v>
      </c>
      <c r="J17" s="16">
        <f t="shared" si="2"/>
        <v>19667.142</v>
      </c>
    </row>
    <row r="19" spans="1:10">
      <c r="A19" s="21" t="s">
        <v>101</v>
      </c>
      <c r="B19" s="13">
        <f>D4*0.5</f>
        <v>5426</v>
      </c>
      <c r="D19" s="13">
        <f>D4*0.2+D5*0.8</f>
        <v>10852</v>
      </c>
      <c r="F19" s="13">
        <f>D4*0.1+D5*0.1</f>
        <v>2170.4</v>
      </c>
      <c r="H19" s="13">
        <f>D4*0.2+D5*0.1</f>
        <v>3255.6000000000004</v>
      </c>
      <c r="J19" s="13">
        <f>SUM(B19:H19)</f>
        <v>21704</v>
      </c>
    </row>
    <row r="22" spans="1:10" ht="25.5">
      <c r="A22" s="24" t="s">
        <v>102</v>
      </c>
      <c r="B22" s="25">
        <f>B15/J15</f>
        <v>0.40255485519960144</v>
      </c>
      <c r="C22" s="25"/>
      <c r="D22" s="25">
        <f>D15/J15</f>
        <v>0.33789449173652175</v>
      </c>
      <c r="E22" s="25"/>
      <c r="F22" s="25">
        <f>F15/J15</f>
        <v>8.6516884354625609E-2</v>
      </c>
      <c r="G22" s="25"/>
      <c r="H22" s="25">
        <f>H15/J15</f>
        <v>0.17303376870925122</v>
      </c>
      <c r="I22" s="25"/>
      <c r="J22" s="25">
        <f>SUM(B22:H22)</f>
        <v>1</v>
      </c>
    </row>
  </sheetData>
  <pageMargins left="0.7" right="0.7" top="0.75" bottom="0.75" header="0.3" footer="0.3"/>
  <pageSetup scale="72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>
      <selection activeCell="J6" sqref="J6"/>
    </sheetView>
  </sheetViews>
  <sheetFormatPr defaultRowHeight="12.75"/>
  <cols>
    <col min="1" max="1" width="29.7109375" style="13" customWidth="1"/>
    <col min="2" max="3" width="21.28515625" style="13" customWidth="1"/>
    <col min="4" max="4" width="13.28515625" style="13" customWidth="1"/>
    <col min="5" max="5" width="12.42578125" style="13" customWidth="1"/>
    <col min="6" max="10" width="11.140625" style="13" customWidth="1"/>
    <col min="11" max="11" width="14.42578125" style="13" customWidth="1"/>
    <col min="12" max="12" width="12.28515625" style="13" customWidth="1"/>
    <col min="13" max="13" width="18.7109375" style="13" customWidth="1"/>
    <col min="14" max="14" width="21.5703125" style="13" customWidth="1"/>
    <col min="15" max="15" width="17.5703125" style="13" customWidth="1"/>
    <col min="16" max="17" width="15.85546875" style="13" customWidth="1"/>
    <col min="18" max="18" width="15.5703125" style="13" customWidth="1"/>
    <col min="19" max="255" width="9.140625" style="13"/>
    <col min="256" max="256" width="29.7109375" style="13" customWidth="1"/>
    <col min="257" max="258" width="21.28515625" style="13" customWidth="1"/>
    <col min="259" max="259" width="13.28515625" style="13" customWidth="1"/>
    <col min="260" max="260" width="12.42578125" style="13" customWidth="1"/>
    <col min="261" max="265" width="11.140625" style="13" customWidth="1"/>
    <col min="266" max="266" width="14.42578125" style="13" customWidth="1"/>
    <col min="267" max="267" width="12.28515625" style="13" customWidth="1"/>
    <col min="268" max="268" width="13.28515625" style="13" customWidth="1"/>
    <col min="269" max="269" width="18.7109375" style="13" customWidth="1"/>
    <col min="270" max="270" width="21.5703125" style="13" customWidth="1"/>
    <col min="271" max="271" width="17.5703125" style="13" customWidth="1"/>
    <col min="272" max="273" width="15.85546875" style="13" customWidth="1"/>
    <col min="274" max="274" width="15.5703125" style="13" customWidth="1"/>
    <col min="275" max="511" width="9.140625" style="13"/>
    <col min="512" max="512" width="29.7109375" style="13" customWidth="1"/>
    <col min="513" max="514" width="21.28515625" style="13" customWidth="1"/>
    <col min="515" max="515" width="13.28515625" style="13" customWidth="1"/>
    <col min="516" max="516" width="12.42578125" style="13" customWidth="1"/>
    <col min="517" max="521" width="11.140625" style="13" customWidth="1"/>
    <col min="522" max="522" width="14.42578125" style="13" customWidth="1"/>
    <col min="523" max="523" width="12.28515625" style="13" customWidth="1"/>
    <col min="524" max="524" width="13.28515625" style="13" customWidth="1"/>
    <col min="525" max="525" width="18.7109375" style="13" customWidth="1"/>
    <col min="526" max="526" width="21.5703125" style="13" customWidth="1"/>
    <col min="527" max="527" width="17.5703125" style="13" customWidth="1"/>
    <col min="528" max="529" width="15.85546875" style="13" customWidth="1"/>
    <col min="530" max="530" width="15.5703125" style="13" customWidth="1"/>
    <col min="531" max="767" width="9.140625" style="13"/>
    <col min="768" max="768" width="29.7109375" style="13" customWidth="1"/>
    <col min="769" max="770" width="21.28515625" style="13" customWidth="1"/>
    <col min="771" max="771" width="13.28515625" style="13" customWidth="1"/>
    <col min="772" max="772" width="12.42578125" style="13" customWidth="1"/>
    <col min="773" max="777" width="11.140625" style="13" customWidth="1"/>
    <col min="778" max="778" width="14.42578125" style="13" customWidth="1"/>
    <col min="779" max="779" width="12.28515625" style="13" customWidth="1"/>
    <col min="780" max="780" width="13.28515625" style="13" customWidth="1"/>
    <col min="781" max="781" width="18.7109375" style="13" customWidth="1"/>
    <col min="782" max="782" width="21.5703125" style="13" customWidth="1"/>
    <col min="783" max="783" width="17.5703125" style="13" customWidth="1"/>
    <col min="784" max="785" width="15.85546875" style="13" customWidth="1"/>
    <col min="786" max="786" width="15.5703125" style="13" customWidth="1"/>
    <col min="787" max="1023" width="9.140625" style="13"/>
    <col min="1024" max="1024" width="29.7109375" style="13" customWidth="1"/>
    <col min="1025" max="1026" width="21.28515625" style="13" customWidth="1"/>
    <col min="1027" max="1027" width="13.28515625" style="13" customWidth="1"/>
    <col min="1028" max="1028" width="12.42578125" style="13" customWidth="1"/>
    <col min="1029" max="1033" width="11.140625" style="13" customWidth="1"/>
    <col min="1034" max="1034" width="14.42578125" style="13" customWidth="1"/>
    <col min="1035" max="1035" width="12.28515625" style="13" customWidth="1"/>
    <col min="1036" max="1036" width="13.28515625" style="13" customWidth="1"/>
    <col min="1037" max="1037" width="18.7109375" style="13" customWidth="1"/>
    <col min="1038" max="1038" width="21.5703125" style="13" customWidth="1"/>
    <col min="1039" max="1039" width="17.5703125" style="13" customWidth="1"/>
    <col min="1040" max="1041" width="15.85546875" style="13" customWidth="1"/>
    <col min="1042" max="1042" width="15.5703125" style="13" customWidth="1"/>
    <col min="1043" max="1279" width="9.140625" style="13"/>
    <col min="1280" max="1280" width="29.7109375" style="13" customWidth="1"/>
    <col min="1281" max="1282" width="21.28515625" style="13" customWidth="1"/>
    <col min="1283" max="1283" width="13.28515625" style="13" customWidth="1"/>
    <col min="1284" max="1284" width="12.42578125" style="13" customWidth="1"/>
    <col min="1285" max="1289" width="11.140625" style="13" customWidth="1"/>
    <col min="1290" max="1290" width="14.42578125" style="13" customWidth="1"/>
    <col min="1291" max="1291" width="12.28515625" style="13" customWidth="1"/>
    <col min="1292" max="1292" width="13.28515625" style="13" customWidth="1"/>
    <col min="1293" max="1293" width="18.7109375" style="13" customWidth="1"/>
    <col min="1294" max="1294" width="21.5703125" style="13" customWidth="1"/>
    <col min="1295" max="1295" width="17.5703125" style="13" customWidth="1"/>
    <col min="1296" max="1297" width="15.85546875" style="13" customWidth="1"/>
    <col min="1298" max="1298" width="15.5703125" style="13" customWidth="1"/>
    <col min="1299" max="1535" width="9.140625" style="13"/>
    <col min="1536" max="1536" width="29.7109375" style="13" customWidth="1"/>
    <col min="1537" max="1538" width="21.28515625" style="13" customWidth="1"/>
    <col min="1539" max="1539" width="13.28515625" style="13" customWidth="1"/>
    <col min="1540" max="1540" width="12.42578125" style="13" customWidth="1"/>
    <col min="1541" max="1545" width="11.140625" style="13" customWidth="1"/>
    <col min="1546" max="1546" width="14.42578125" style="13" customWidth="1"/>
    <col min="1547" max="1547" width="12.28515625" style="13" customWidth="1"/>
    <col min="1548" max="1548" width="13.28515625" style="13" customWidth="1"/>
    <col min="1549" max="1549" width="18.7109375" style="13" customWidth="1"/>
    <col min="1550" max="1550" width="21.5703125" style="13" customWidth="1"/>
    <col min="1551" max="1551" width="17.5703125" style="13" customWidth="1"/>
    <col min="1552" max="1553" width="15.85546875" style="13" customWidth="1"/>
    <col min="1554" max="1554" width="15.5703125" style="13" customWidth="1"/>
    <col min="1555" max="1791" width="9.140625" style="13"/>
    <col min="1792" max="1792" width="29.7109375" style="13" customWidth="1"/>
    <col min="1793" max="1794" width="21.28515625" style="13" customWidth="1"/>
    <col min="1795" max="1795" width="13.28515625" style="13" customWidth="1"/>
    <col min="1796" max="1796" width="12.42578125" style="13" customWidth="1"/>
    <col min="1797" max="1801" width="11.140625" style="13" customWidth="1"/>
    <col min="1802" max="1802" width="14.42578125" style="13" customWidth="1"/>
    <col min="1803" max="1803" width="12.28515625" style="13" customWidth="1"/>
    <col min="1804" max="1804" width="13.28515625" style="13" customWidth="1"/>
    <col min="1805" max="1805" width="18.7109375" style="13" customWidth="1"/>
    <col min="1806" max="1806" width="21.5703125" style="13" customWidth="1"/>
    <col min="1807" max="1807" width="17.5703125" style="13" customWidth="1"/>
    <col min="1808" max="1809" width="15.85546875" style="13" customWidth="1"/>
    <col min="1810" max="1810" width="15.5703125" style="13" customWidth="1"/>
    <col min="1811" max="2047" width="9.140625" style="13"/>
    <col min="2048" max="2048" width="29.7109375" style="13" customWidth="1"/>
    <col min="2049" max="2050" width="21.28515625" style="13" customWidth="1"/>
    <col min="2051" max="2051" width="13.28515625" style="13" customWidth="1"/>
    <col min="2052" max="2052" width="12.42578125" style="13" customWidth="1"/>
    <col min="2053" max="2057" width="11.140625" style="13" customWidth="1"/>
    <col min="2058" max="2058" width="14.42578125" style="13" customWidth="1"/>
    <col min="2059" max="2059" width="12.28515625" style="13" customWidth="1"/>
    <col min="2060" max="2060" width="13.28515625" style="13" customWidth="1"/>
    <col min="2061" max="2061" width="18.7109375" style="13" customWidth="1"/>
    <col min="2062" max="2062" width="21.5703125" style="13" customWidth="1"/>
    <col min="2063" max="2063" width="17.5703125" style="13" customWidth="1"/>
    <col min="2064" max="2065" width="15.85546875" style="13" customWidth="1"/>
    <col min="2066" max="2066" width="15.5703125" style="13" customWidth="1"/>
    <col min="2067" max="2303" width="9.140625" style="13"/>
    <col min="2304" max="2304" width="29.7109375" style="13" customWidth="1"/>
    <col min="2305" max="2306" width="21.28515625" style="13" customWidth="1"/>
    <col min="2307" max="2307" width="13.28515625" style="13" customWidth="1"/>
    <col min="2308" max="2308" width="12.42578125" style="13" customWidth="1"/>
    <col min="2309" max="2313" width="11.140625" style="13" customWidth="1"/>
    <col min="2314" max="2314" width="14.42578125" style="13" customWidth="1"/>
    <col min="2315" max="2315" width="12.28515625" style="13" customWidth="1"/>
    <col min="2316" max="2316" width="13.28515625" style="13" customWidth="1"/>
    <col min="2317" max="2317" width="18.7109375" style="13" customWidth="1"/>
    <col min="2318" max="2318" width="21.5703125" style="13" customWidth="1"/>
    <col min="2319" max="2319" width="17.5703125" style="13" customWidth="1"/>
    <col min="2320" max="2321" width="15.85546875" style="13" customWidth="1"/>
    <col min="2322" max="2322" width="15.5703125" style="13" customWidth="1"/>
    <col min="2323" max="2559" width="9.140625" style="13"/>
    <col min="2560" max="2560" width="29.7109375" style="13" customWidth="1"/>
    <col min="2561" max="2562" width="21.28515625" style="13" customWidth="1"/>
    <col min="2563" max="2563" width="13.28515625" style="13" customWidth="1"/>
    <col min="2564" max="2564" width="12.42578125" style="13" customWidth="1"/>
    <col min="2565" max="2569" width="11.140625" style="13" customWidth="1"/>
    <col min="2570" max="2570" width="14.42578125" style="13" customWidth="1"/>
    <col min="2571" max="2571" width="12.28515625" style="13" customWidth="1"/>
    <col min="2572" max="2572" width="13.28515625" style="13" customWidth="1"/>
    <col min="2573" max="2573" width="18.7109375" style="13" customWidth="1"/>
    <col min="2574" max="2574" width="21.5703125" style="13" customWidth="1"/>
    <col min="2575" max="2575" width="17.5703125" style="13" customWidth="1"/>
    <col min="2576" max="2577" width="15.85546875" style="13" customWidth="1"/>
    <col min="2578" max="2578" width="15.5703125" style="13" customWidth="1"/>
    <col min="2579" max="2815" width="9.140625" style="13"/>
    <col min="2816" max="2816" width="29.7109375" style="13" customWidth="1"/>
    <col min="2817" max="2818" width="21.28515625" style="13" customWidth="1"/>
    <col min="2819" max="2819" width="13.28515625" style="13" customWidth="1"/>
    <col min="2820" max="2820" width="12.42578125" style="13" customWidth="1"/>
    <col min="2821" max="2825" width="11.140625" style="13" customWidth="1"/>
    <col min="2826" max="2826" width="14.42578125" style="13" customWidth="1"/>
    <col min="2827" max="2827" width="12.28515625" style="13" customWidth="1"/>
    <col min="2828" max="2828" width="13.28515625" style="13" customWidth="1"/>
    <col min="2829" max="2829" width="18.7109375" style="13" customWidth="1"/>
    <col min="2830" max="2830" width="21.5703125" style="13" customWidth="1"/>
    <col min="2831" max="2831" width="17.5703125" style="13" customWidth="1"/>
    <col min="2832" max="2833" width="15.85546875" style="13" customWidth="1"/>
    <col min="2834" max="2834" width="15.5703125" style="13" customWidth="1"/>
    <col min="2835" max="3071" width="9.140625" style="13"/>
    <col min="3072" max="3072" width="29.7109375" style="13" customWidth="1"/>
    <col min="3073" max="3074" width="21.28515625" style="13" customWidth="1"/>
    <col min="3075" max="3075" width="13.28515625" style="13" customWidth="1"/>
    <col min="3076" max="3076" width="12.42578125" style="13" customWidth="1"/>
    <col min="3077" max="3081" width="11.140625" style="13" customWidth="1"/>
    <col min="3082" max="3082" width="14.42578125" style="13" customWidth="1"/>
    <col min="3083" max="3083" width="12.28515625" style="13" customWidth="1"/>
    <col min="3084" max="3084" width="13.28515625" style="13" customWidth="1"/>
    <col min="3085" max="3085" width="18.7109375" style="13" customWidth="1"/>
    <col min="3086" max="3086" width="21.5703125" style="13" customWidth="1"/>
    <col min="3087" max="3087" width="17.5703125" style="13" customWidth="1"/>
    <col min="3088" max="3089" width="15.85546875" style="13" customWidth="1"/>
    <col min="3090" max="3090" width="15.5703125" style="13" customWidth="1"/>
    <col min="3091" max="3327" width="9.140625" style="13"/>
    <col min="3328" max="3328" width="29.7109375" style="13" customWidth="1"/>
    <col min="3329" max="3330" width="21.28515625" style="13" customWidth="1"/>
    <col min="3331" max="3331" width="13.28515625" style="13" customWidth="1"/>
    <col min="3332" max="3332" width="12.42578125" style="13" customWidth="1"/>
    <col min="3333" max="3337" width="11.140625" style="13" customWidth="1"/>
    <col min="3338" max="3338" width="14.42578125" style="13" customWidth="1"/>
    <col min="3339" max="3339" width="12.28515625" style="13" customWidth="1"/>
    <col min="3340" max="3340" width="13.28515625" style="13" customWidth="1"/>
    <col min="3341" max="3341" width="18.7109375" style="13" customWidth="1"/>
    <col min="3342" max="3342" width="21.5703125" style="13" customWidth="1"/>
    <col min="3343" max="3343" width="17.5703125" style="13" customWidth="1"/>
    <col min="3344" max="3345" width="15.85546875" style="13" customWidth="1"/>
    <col min="3346" max="3346" width="15.5703125" style="13" customWidth="1"/>
    <col min="3347" max="3583" width="9.140625" style="13"/>
    <col min="3584" max="3584" width="29.7109375" style="13" customWidth="1"/>
    <col min="3585" max="3586" width="21.28515625" style="13" customWidth="1"/>
    <col min="3587" max="3587" width="13.28515625" style="13" customWidth="1"/>
    <col min="3588" max="3588" width="12.42578125" style="13" customWidth="1"/>
    <col min="3589" max="3593" width="11.140625" style="13" customWidth="1"/>
    <col min="3594" max="3594" width="14.42578125" style="13" customWidth="1"/>
    <col min="3595" max="3595" width="12.28515625" style="13" customWidth="1"/>
    <col min="3596" max="3596" width="13.28515625" style="13" customWidth="1"/>
    <col min="3597" max="3597" width="18.7109375" style="13" customWidth="1"/>
    <col min="3598" max="3598" width="21.5703125" style="13" customWidth="1"/>
    <col min="3599" max="3599" width="17.5703125" style="13" customWidth="1"/>
    <col min="3600" max="3601" width="15.85546875" style="13" customWidth="1"/>
    <col min="3602" max="3602" width="15.5703125" style="13" customWidth="1"/>
    <col min="3603" max="3839" width="9.140625" style="13"/>
    <col min="3840" max="3840" width="29.7109375" style="13" customWidth="1"/>
    <col min="3841" max="3842" width="21.28515625" style="13" customWidth="1"/>
    <col min="3843" max="3843" width="13.28515625" style="13" customWidth="1"/>
    <col min="3844" max="3844" width="12.42578125" style="13" customWidth="1"/>
    <col min="3845" max="3849" width="11.140625" style="13" customWidth="1"/>
    <col min="3850" max="3850" width="14.42578125" style="13" customWidth="1"/>
    <col min="3851" max="3851" width="12.28515625" style="13" customWidth="1"/>
    <col min="3852" max="3852" width="13.28515625" style="13" customWidth="1"/>
    <col min="3853" max="3853" width="18.7109375" style="13" customWidth="1"/>
    <col min="3854" max="3854" width="21.5703125" style="13" customWidth="1"/>
    <col min="3855" max="3855" width="17.5703125" style="13" customWidth="1"/>
    <col min="3856" max="3857" width="15.85546875" style="13" customWidth="1"/>
    <col min="3858" max="3858" width="15.5703125" style="13" customWidth="1"/>
    <col min="3859" max="4095" width="9.140625" style="13"/>
    <col min="4096" max="4096" width="29.7109375" style="13" customWidth="1"/>
    <col min="4097" max="4098" width="21.28515625" style="13" customWidth="1"/>
    <col min="4099" max="4099" width="13.28515625" style="13" customWidth="1"/>
    <col min="4100" max="4100" width="12.42578125" style="13" customWidth="1"/>
    <col min="4101" max="4105" width="11.140625" style="13" customWidth="1"/>
    <col min="4106" max="4106" width="14.42578125" style="13" customWidth="1"/>
    <col min="4107" max="4107" width="12.28515625" style="13" customWidth="1"/>
    <col min="4108" max="4108" width="13.28515625" style="13" customWidth="1"/>
    <col min="4109" max="4109" width="18.7109375" style="13" customWidth="1"/>
    <col min="4110" max="4110" width="21.5703125" style="13" customWidth="1"/>
    <col min="4111" max="4111" width="17.5703125" style="13" customWidth="1"/>
    <col min="4112" max="4113" width="15.85546875" style="13" customWidth="1"/>
    <col min="4114" max="4114" width="15.5703125" style="13" customWidth="1"/>
    <col min="4115" max="4351" width="9.140625" style="13"/>
    <col min="4352" max="4352" width="29.7109375" style="13" customWidth="1"/>
    <col min="4353" max="4354" width="21.28515625" style="13" customWidth="1"/>
    <col min="4355" max="4355" width="13.28515625" style="13" customWidth="1"/>
    <col min="4356" max="4356" width="12.42578125" style="13" customWidth="1"/>
    <col min="4357" max="4361" width="11.140625" style="13" customWidth="1"/>
    <col min="4362" max="4362" width="14.42578125" style="13" customWidth="1"/>
    <col min="4363" max="4363" width="12.28515625" style="13" customWidth="1"/>
    <col min="4364" max="4364" width="13.28515625" style="13" customWidth="1"/>
    <col min="4365" max="4365" width="18.7109375" style="13" customWidth="1"/>
    <col min="4366" max="4366" width="21.5703125" style="13" customWidth="1"/>
    <col min="4367" max="4367" width="17.5703125" style="13" customWidth="1"/>
    <col min="4368" max="4369" width="15.85546875" style="13" customWidth="1"/>
    <col min="4370" max="4370" width="15.5703125" style="13" customWidth="1"/>
    <col min="4371" max="4607" width="9.140625" style="13"/>
    <col min="4608" max="4608" width="29.7109375" style="13" customWidth="1"/>
    <col min="4609" max="4610" width="21.28515625" style="13" customWidth="1"/>
    <col min="4611" max="4611" width="13.28515625" style="13" customWidth="1"/>
    <col min="4612" max="4612" width="12.42578125" style="13" customWidth="1"/>
    <col min="4613" max="4617" width="11.140625" style="13" customWidth="1"/>
    <col min="4618" max="4618" width="14.42578125" style="13" customWidth="1"/>
    <col min="4619" max="4619" width="12.28515625" style="13" customWidth="1"/>
    <col min="4620" max="4620" width="13.28515625" style="13" customWidth="1"/>
    <col min="4621" max="4621" width="18.7109375" style="13" customWidth="1"/>
    <col min="4622" max="4622" width="21.5703125" style="13" customWidth="1"/>
    <col min="4623" max="4623" width="17.5703125" style="13" customWidth="1"/>
    <col min="4624" max="4625" width="15.85546875" style="13" customWidth="1"/>
    <col min="4626" max="4626" width="15.5703125" style="13" customWidth="1"/>
    <col min="4627" max="4863" width="9.140625" style="13"/>
    <col min="4864" max="4864" width="29.7109375" style="13" customWidth="1"/>
    <col min="4865" max="4866" width="21.28515625" style="13" customWidth="1"/>
    <col min="4867" max="4867" width="13.28515625" style="13" customWidth="1"/>
    <col min="4868" max="4868" width="12.42578125" style="13" customWidth="1"/>
    <col min="4869" max="4873" width="11.140625" style="13" customWidth="1"/>
    <col min="4874" max="4874" width="14.42578125" style="13" customWidth="1"/>
    <col min="4875" max="4875" width="12.28515625" style="13" customWidth="1"/>
    <col min="4876" max="4876" width="13.28515625" style="13" customWidth="1"/>
    <col min="4877" max="4877" width="18.7109375" style="13" customWidth="1"/>
    <col min="4878" max="4878" width="21.5703125" style="13" customWidth="1"/>
    <col min="4879" max="4879" width="17.5703125" style="13" customWidth="1"/>
    <col min="4880" max="4881" width="15.85546875" style="13" customWidth="1"/>
    <col min="4882" max="4882" width="15.5703125" style="13" customWidth="1"/>
    <col min="4883" max="5119" width="9.140625" style="13"/>
    <col min="5120" max="5120" width="29.7109375" style="13" customWidth="1"/>
    <col min="5121" max="5122" width="21.28515625" style="13" customWidth="1"/>
    <col min="5123" max="5123" width="13.28515625" style="13" customWidth="1"/>
    <col min="5124" max="5124" width="12.42578125" style="13" customWidth="1"/>
    <col min="5125" max="5129" width="11.140625" style="13" customWidth="1"/>
    <col min="5130" max="5130" width="14.42578125" style="13" customWidth="1"/>
    <col min="5131" max="5131" width="12.28515625" style="13" customWidth="1"/>
    <col min="5132" max="5132" width="13.28515625" style="13" customWidth="1"/>
    <col min="5133" max="5133" width="18.7109375" style="13" customWidth="1"/>
    <col min="5134" max="5134" width="21.5703125" style="13" customWidth="1"/>
    <col min="5135" max="5135" width="17.5703125" style="13" customWidth="1"/>
    <col min="5136" max="5137" width="15.85546875" style="13" customWidth="1"/>
    <col min="5138" max="5138" width="15.5703125" style="13" customWidth="1"/>
    <col min="5139" max="5375" width="9.140625" style="13"/>
    <col min="5376" max="5376" width="29.7109375" style="13" customWidth="1"/>
    <col min="5377" max="5378" width="21.28515625" style="13" customWidth="1"/>
    <col min="5379" max="5379" width="13.28515625" style="13" customWidth="1"/>
    <col min="5380" max="5380" width="12.42578125" style="13" customWidth="1"/>
    <col min="5381" max="5385" width="11.140625" style="13" customWidth="1"/>
    <col min="5386" max="5386" width="14.42578125" style="13" customWidth="1"/>
    <col min="5387" max="5387" width="12.28515625" style="13" customWidth="1"/>
    <col min="5388" max="5388" width="13.28515625" style="13" customWidth="1"/>
    <col min="5389" max="5389" width="18.7109375" style="13" customWidth="1"/>
    <col min="5390" max="5390" width="21.5703125" style="13" customWidth="1"/>
    <col min="5391" max="5391" width="17.5703125" style="13" customWidth="1"/>
    <col min="5392" max="5393" width="15.85546875" style="13" customWidth="1"/>
    <col min="5394" max="5394" width="15.5703125" style="13" customWidth="1"/>
    <col min="5395" max="5631" width="9.140625" style="13"/>
    <col min="5632" max="5632" width="29.7109375" style="13" customWidth="1"/>
    <col min="5633" max="5634" width="21.28515625" style="13" customWidth="1"/>
    <col min="5635" max="5635" width="13.28515625" style="13" customWidth="1"/>
    <col min="5636" max="5636" width="12.42578125" style="13" customWidth="1"/>
    <col min="5637" max="5641" width="11.140625" style="13" customWidth="1"/>
    <col min="5642" max="5642" width="14.42578125" style="13" customWidth="1"/>
    <col min="5643" max="5643" width="12.28515625" style="13" customWidth="1"/>
    <col min="5644" max="5644" width="13.28515625" style="13" customWidth="1"/>
    <col min="5645" max="5645" width="18.7109375" style="13" customWidth="1"/>
    <col min="5646" max="5646" width="21.5703125" style="13" customWidth="1"/>
    <col min="5647" max="5647" width="17.5703125" style="13" customWidth="1"/>
    <col min="5648" max="5649" width="15.85546875" style="13" customWidth="1"/>
    <col min="5650" max="5650" width="15.5703125" style="13" customWidth="1"/>
    <col min="5651" max="5887" width="9.140625" style="13"/>
    <col min="5888" max="5888" width="29.7109375" style="13" customWidth="1"/>
    <col min="5889" max="5890" width="21.28515625" style="13" customWidth="1"/>
    <col min="5891" max="5891" width="13.28515625" style="13" customWidth="1"/>
    <col min="5892" max="5892" width="12.42578125" style="13" customWidth="1"/>
    <col min="5893" max="5897" width="11.140625" style="13" customWidth="1"/>
    <col min="5898" max="5898" width="14.42578125" style="13" customWidth="1"/>
    <col min="5899" max="5899" width="12.28515625" style="13" customWidth="1"/>
    <col min="5900" max="5900" width="13.28515625" style="13" customWidth="1"/>
    <col min="5901" max="5901" width="18.7109375" style="13" customWidth="1"/>
    <col min="5902" max="5902" width="21.5703125" style="13" customWidth="1"/>
    <col min="5903" max="5903" width="17.5703125" style="13" customWidth="1"/>
    <col min="5904" max="5905" width="15.85546875" style="13" customWidth="1"/>
    <col min="5906" max="5906" width="15.5703125" style="13" customWidth="1"/>
    <col min="5907" max="6143" width="9.140625" style="13"/>
    <col min="6144" max="6144" width="29.7109375" style="13" customWidth="1"/>
    <col min="6145" max="6146" width="21.28515625" style="13" customWidth="1"/>
    <col min="6147" max="6147" width="13.28515625" style="13" customWidth="1"/>
    <col min="6148" max="6148" width="12.42578125" style="13" customWidth="1"/>
    <col min="6149" max="6153" width="11.140625" style="13" customWidth="1"/>
    <col min="6154" max="6154" width="14.42578125" style="13" customWidth="1"/>
    <col min="6155" max="6155" width="12.28515625" style="13" customWidth="1"/>
    <col min="6156" max="6156" width="13.28515625" style="13" customWidth="1"/>
    <col min="6157" max="6157" width="18.7109375" style="13" customWidth="1"/>
    <col min="6158" max="6158" width="21.5703125" style="13" customWidth="1"/>
    <col min="6159" max="6159" width="17.5703125" style="13" customWidth="1"/>
    <col min="6160" max="6161" width="15.85546875" style="13" customWidth="1"/>
    <col min="6162" max="6162" width="15.5703125" style="13" customWidth="1"/>
    <col min="6163" max="6399" width="9.140625" style="13"/>
    <col min="6400" max="6400" width="29.7109375" style="13" customWidth="1"/>
    <col min="6401" max="6402" width="21.28515625" style="13" customWidth="1"/>
    <col min="6403" max="6403" width="13.28515625" style="13" customWidth="1"/>
    <col min="6404" max="6404" width="12.42578125" style="13" customWidth="1"/>
    <col min="6405" max="6409" width="11.140625" style="13" customWidth="1"/>
    <col min="6410" max="6410" width="14.42578125" style="13" customWidth="1"/>
    <col min="6411" max="6411" width="12.28515625" style="13" customWidth="1"/>
    <col min="6412" max="6412" width="13.28515625" style="13" customWidth="1"/>
    <col min="6413" max="6413" width="18.7109375" style="13" customWidth="1"/>
    <col min="6414" max="6414" width="21.5703125" style="13" customWidth="1"/>
    <col min="6415" max="6415" width="17.5703125" style="13" customWidth="1"/>
    <col min="6416" max="6417" width="15.85546875" style="13" customWidth="1"/>
    <col min="6418" max="6418" width="15.5703125" style="13" customWidth="1"/>
    <col min="6419" max="6655" width="9.140625" style="13"/>
    <col min="6656" max="6656" width="29.7109375" style="13" customWidth="1"/>
    <col min="6657" max="6658" width="21.28515625" style="13" customWidth="1"/>
    <col min="6659" max="6659" width="13.28515625" style="13" customWidth="1"/>
    <col min="6660" max="6660" width="12.42578125" style="13" customWidth="1"/>
    <col min="6661" max="6665" width="11.140625" style="13" customWidth="1"/>
    <col min="6666" max="6666" width="14.42578125" style="13" customWidth="1"/>
    <col min="6667" max="6667" width="12.28515625" style="13" customWidth="1"/>
    <col min="6668" max="6668" width="13.28515625" style="13" customWidth="1"/>
    <col min="6669" max="6669" width="18.7109375" style="13" customWidth="1"/>
    <col min="6670" max="6670" width="21.5703125" style="13" customWidth="1"/>
    <col min="6671" max="6671" width="17.5703125" style="13" customWidth="1"/>
    <col min="6672" max="6673" width="15.85546875" style="13" customWidth="1"/>
    <col min="6674" max="6674" width="15.5703125" style="13" customWidth="1"/>
    <col min="6675" max="6911" width="9.140625" style="13"/>
    <col min="6912" max="6912" width="29.7109375" style="13" customWidth="1"/>
    <col min="6913" max="6914" width="21.28515625" style="13" customWidth="1"/>
    <col min="6915" max="6915" width="13.28515625" style="13" customWidth="1"/>
    <col min="6916" max="6916" width="12.42578125" style="13" customWidth="1"/>
    <col min="6917" max="6921" width="11.140625" style="13" customWidth="1"/>
    <col min="6922" max="6922" width="14.42578125" style="13" customWidth="1"/>
    <col min="6923" max="6923" width="12.28515625" style="13" customWidth="1"/>
    <col min="6924" max="6924" width="13.28515625" style="13" customWidth="1"/>
    <col min="6925" max="6925" width="18.7109375" style="13" customWidth="1"/>
    <col min="6926" max="6926" width="21.5703125" style="13" customWidth="1"/>
    <col min="6927" max="6927" width="17.5703125" style="13" customWidth="1"/>
    <col min="6928" max="6929" width="15.85546875" style="13" customWidth="1"/>
    <col min="6930" max="6930" width="15.5703125" style="13" customWidth="1"/>
    <col min="6931" max="7167" width="9.140625" style="13"/>
    <col min="7168" max="7168" width="29.7109375" style="13" customWidth="1"/>
    <col min="7169" max="7170" width="21.28515625" style="13" customWidth="1"/>
    <col min="7171" max="7171" width="13.28515625" style="13" customWidth="1"/>
    <col min="7172" max="7172" width="12.42578125" style="13" customWidth="1"/>
    <col min="7173" max="7177" width="11.140625" style="13" customWidth="1"/>
    <col min="7178" max="7178" width="14.42578125" style="13" customWidth="1"/>
    <col min="7179" max="7179" width="12.28515625" style="13" customWidth="1"/>
    <col min="7180" max="7180" width="13.28515625" style="13" customWidth="1"/>
    <col min="7181" max="7181" width="18.7109375" style="13" customWidth="1"/>
    <col min="7182" max="7182" width="21.5703125" style="13" customWidth="1"/>
    <col min="7183" max="7183" width="17.5703125" style="13" customWidth="1"/>
    <col min="7184" max="7185" width="15.85546875" style="13" customWidth="1"/>
    <col min="7186" max="7186" width="15.5703125" style="13" customWidth="1"/>
    <col min="7187" max="7423" width="9.140625" style="13"/>
    <col min="7424" max="7424" width="29.7109375" style="13" customWidth="1"/>
    <col min="7425" max="7426" width="21.28515625" style="13" customWidth="1"/>
    <col min="7427" max="7427" width="13.28515625" style="13" customWidth="1"/>
    <col min="7428" max="7428" width="12.42578125" style="13" customWidth="1"/>
    <col min="7429" max="7433" width="11.140625" style="13" customWidth="1"/>
    <col min="7434" max="7434" width="14.42578125" style="13" customWidth="1"/>
    <col min="7435" max="7435" width="12.28515625" style="13" customWidth="1"/>
    <col min="7436" max="7436" width="13.28515625" style="13" customWidth="1"/>
    <col min="7437" max="7437" width="18.7109375" style="13" customWidth="1"/>
    <col min="7438" max="7438" width="21.5703125" style="13" customWidth="1"/>
    <col min="7439" max="7439" width="17.5703125" style="13" customWidth="1"/>
    <col min="7440" max="7441" width="15.85546875" style="13" customWidth="1"/>
    <col min="7442" max="7442" width="15.5703125" style="13" customWidth="1"/>
    <col min="7443" max="7679" width="9.140625" style="13"/>
    <col min="7680" max="7680" width="29.7109375" style="13" customWidth="1"/>
    <col min="7681" max="7682" width="21.28515625" style="13" customWidth="1"/>
    <col min="7683" max="7683" width="13.28515625" style="13" customWidth="1"/>
    <col min="7684" max="7684" width="12.42578125" style="13" customWidth="1"/>
    <col min="7685" max="7689" width="11.140625" style="13" customWidth="1"/>
    <col min="7690" max="7690" width="14.42578125" style="13" customWidth="1"/>
    <col min="7691" max="7691" width="12.28515625" style="13" customWidth="1"/>
    <col min="7692" max="7692" width="13.28515625" style="13" customWidth="1"/>
    <col min="7693" max="7693" width="18.7109375" style="13" customWidth="1"/>
    <col min="7694" max="7694" width="21.5703125" style="13" customWidth="1"/>
    <col min="7695" max="7695" width="17.5703125" style="13" customWidth="1"/>
    <col min="7696" max="7697" width="15.85546875" style="13" customWidth="1"/>
    <col min="7698" max="7698" width="15.5703125" style="13" customWidth="1"/>
    <col min="7699" max="7935" width="9.140625" style="13"/>
    <col min="7936" max="7936" width="29.7109375" style="13" customWidth="1"/>
    <col min="7937" max="7938" width="21.28515625" style="13" customWidth="1"/>
    <col min="7939" max="7939" width="13.28515625" style="13" customWidth="1"/>
    <col min="7940" max="7940" width="12.42578125" style="13" customWidth="1"/>
    <col min="7941" max="7945" width="11.140625" style="13" customWidth="1"/>
    <col min="7946" max="7946" width="14.42578125" style="13" customWidth="1"/>
    <col min="7947" max="7947" width="12.28515625" style="13" customWidth="1"/>
    <col min="7948" max="7948" width="13.28515625" style="13" customWidth="1"/>
    <col min="7949" max="7949" width="18.7109375" style="13" customWidth="1"/>
    <col min="7950" max="7950" width="21.5703125" style="13" customWidth="1"/>
    <col min="7951" max="7951" width="17.5703125" style="13" customWidth="1"/>
    <col min="7952" max="7953" width="15.85546875" style="13" customWidth="1"/>
    <col min="7954" max="7954" width="15.5703125" style="13" customWidth="1"/>
    <col min="7955" max="8191" width="9.140625" style="13"/>
    <col min="8192" max="8192" width="29.7109375" style="13" customWidth="1"/>
    <col min="8193" max="8194" width="21.28515625" style="13" customWidth="1"/>
    <col min="8195" max="8195" width="13.28515625" style="13" customWidth="1"/>
    <col min="8196" max="8196" width="12.42578125" style="13" customWidth="1"/>
    <col min="8197" max="8201" width="11.140625" style="13" customWidth="1"/>
    <col min="8202" max="8202" width="14.42578125" style="13" customWidth="1"/>
    <col min="8203" max="8203" width="12.28515625" style="13" customWidth="1"/>
    <col min="8204" max="8204" width="13.28515625" style="13" customWidth="1"/>
    <col min="8205" max="8205" width="18.7109375" style="13" customWidth="1"/>
    <col min="8206" max="8206" width="21.5703125" style="13" customWidth="1"/>
    <col min="8207" max="8207" width="17.5703125" style="13" customWidth="1"/>
    <col min="8208" max="8209" width="15.85546875" style="13" customWidth="1"/>
    <col min="8210" max="8210" width="15.5703125" style="13" customWidth="1"/>
    <col min="8211" max="8447" width="9.140625" style="13"/>
    <col min="8448" max="8448" width="29.7109375" style="13" customWidth="1"/>
    <col min="8449" max="8450" width="21.28515625" style="13" customWidth="1"/>
    <col min="8451" max="8451" width="13.28515625" style="13" customWidth="1"/>
    <col min="8452" max="8452" width="12.42578125" style="13" customWidth="1"/>
    <col min="8453" max="8457" width="11.140625" style="13" customWidth="1"/>
    <col min="8458" max="8458" width="14.42578125" style="13" customWidth="1"/>
    <col min="8459" max="8459" width="12.28515625" style="13" customWidth="1"/>
    <col min="8460" max="8460" width="13.28515625" style="13" customWidth="1"/>
    <col min="8461" max="8461" width="18.7109375" style="13" customWidth="1"/>
    <col min="8462" max="8462" width="21.5703125" style="13" customWidth="1"/>
    <col min="8463" max="8463" width="17.5703125" style="13" customWidth="1"/>
    <col min="8464" max="8465" width="15.85546875" style="13" customWidth="1"/>
    <col min="8466" max="8466" width="15.5703125" style="13" customWidth="1"/>
    <col min="8467" max="8703" width="9.140625" style="13"/>
    <col min="8704" max="8704" width="29.7109375" style="13" customWidth="1"/>
    <col min="8705" max="8706" width="21.28515625" style="13" customWidth="1"/>
    <col min="8707" max="8707" width="13.28515625" style="13" customWidth="1"/>
    <col min="8708" max="8708" width="12.42578125" style="13" customWidth="1"/>
    <col min="8709" max="8713" width="11.140625" style="13" customWidth="1"/>
    <col min="8714" max="8714" width="14.42578125" style="13" customWidth="1"/>
    <col min="8715" max="8715" width="12.28515625" style="13" customWidth="1"/>
    <col min="8716" max="8716" width="13.28515625" style="13" customWidth="1"/>
    <col min="8717" max="8717" width="18.7109375" style="13" customWidth="1"/>
    <col min="8718" max="8718" width="21.5703125" style="13" customWidth="1"/>
    <col min="8719" max="8719" width="17.5703125" style="13" customWidth="1"/>
    <col min="8720" max="8721" width="15.85546875" style="13" customWidth="1"/>
    <col min="8722" max="8722" width="15.5703125" style="13" customWidth="1"/>
    <col min="8723" max="8959" width="9.140625" style="13"/>
    <col min="8960" max="8960" width="29.7109375" style="13" customWidth="1"/>
    <col min="8961" max="8962" width="21.28515625" style="13" customWidth="1"/>
    <col min="8963" max="8963" width="13.28515625" style="13" customWidth="1"/>
    <col min="8964" max="8964" width="12.42578125" style="13" customWidth="1"/>
    <col min="8965" max="8969" width="11.140625" style="13" customWidth="1"/>
    <col min="8970" max="8970" width="14.42578125" style="13" customWidth="1"/>
    <col min="8971" max="8971" width="12.28515625" style="13" customWidth="1"/>
    <col min="8972" max="8972" width="13.28515625" style="13" customWidth="1"/>
    <col min="8973" max="8973" width="18.7109375" style="13" customWidth="1"/>
    <col min="8974" max="8974" width="21.5703125" style="13" customWidth="1"/>
    <col min="8975" max="8975" width="17.5703125" style="13" customWidth="1"/>
    <col min="8976" max="8977" width="15.85546875" style="13" customWidth="1"/>
    <col min="8978" max="8978" width="15.5703125" style="13" customWidth="1"/>
    <col min="8979" max="9215" width="9.140625" style="13"/>
    <col min="9216" max="9216" width="29.7109375" style="13" customWidth="1"/>
    <col min="9217" max="9218" width="21.28515625" style="13" customWidth="1"/>
    <col min="9219" max="9219" width="13.28515625" style="13" customWidth="1"/>
    <col min="9220" max="9220" width="12.42578125" style="13" customWidth="1"/>
    <col min="9221" max="9225" width="11.140625" style="13" customWidth="1"/>
    <col min="9226" max="9226" width="14.42578125" style="13" customWidth="1"/>
    <col min="9227" max="9227" width="12.28515625" style="13" customWidth="1"/>
    <col min="9228" max="9228" width="13.28515625" style="13" customWidth="1"/>
    <col min="9229" max="9229" width="18.7109375" style="13" customWidth="1"/>
    <col min="9230" max="9230" width="21.5703125" style="13" customWidth="1"/>
    <col min="9231" max="9231" width="17.5703125" style="13" customWidth="1"/>
    <col min="9232" max="9233" width="15.85546875" style="13" customWidth="1"/>
    <col min="9234" max="9234" width="15.5703125" style="13" customWidth="1"/>
    <col min="9235" max="9471" width="9.140625" style="13"/>
    <col min="9472" max="9472" width="29.7109375" style="13" customWidth="1"/>
    <col min="9473" max="9474" width="21.28515625" style="13" customWidth="1"/>
    <col min="9475" max="9475" width="13.28515625" style="13" customWidth="1"/>
    <col min="9476" max="9476" width="12.42578125" style="13" customWidth="1"/>
    <col min="9477" max="9481" width="11.140625" style="13" customWidth="1"/>
    <col min="9482" max="9482" width="14.42578125" style="13" customWidth="1"/>
    <col min="9483" max="9483" width="12.28515625" style="13" customWidth="1"/>
    <col min="9484" max="9484" width="13.28515625" style="13" customWidth="1"/>
    <col min="9485" max="9485" width="18.7109375" style="13" customWidth="1"/>
    <col min="9486" max="9486" width="21.5703125" style="13" customWidth="1"/>
    <col min="9487" max="9487" width="17.5703125" style="13" customWidth="1"/>
    <col min="9488" max="9489" width="15.85546875" style="13" customWidth="1"/>
    <col min="9490" max="9490" width="15.5703125" style="13" customWidth="1"/>
    <col min="9491" max="9727" width="9.140625" style="13"/>
    <col min="9728" max="9728" width="29.7109375" style="13" customWidth="1"/>
    <col min="9729" max="9730" width="21.28515625" style="13" customWidth="1"/>
    <col min="9731" max="9731" width="13.28515625" style="13" customWidth="1"/>
    <col min="9732" max="9732" width="12.42578125" style="13" customWidth="1"/>
    <col min="9733" max="9737" width="11.140625" style="13" customWidth="1"/>
    <col min="9738" max="9738" width="14.42578125" style="13" customWidth="1"/>
    <col min="9739" max="9739" width="12.28515625" style="13" customWidth="1"/>
    <col min="9740" max="9740" width="13.28515625" style="13" customWidth="1"/>
    <col min="9741" max="9741" width="18.7109375" style="13" customWidth="1"/>
    <col min="9742" max="9742" width="21.5703125" style="13" customWidth="1"/>
    <col min="9743" max="9743" width="17.5703125" style="13" customWidth="1"/>
    <col min="9744" max="9745" width="15.85546875" style="13" customWidth="1"/>
    <col min="9746" max="9746" width="15.5703125" style="13" customWidth="1"/>
    <col min="9747" max="9983" width="9.140625" style="13"/>
    <col min="9984" max="9984" width="29.7109375" style="13" customWidth="1"/>
    <col min="9985" max="9986" width="21.28515625" style="13" customWidth="1"/>
    <col min="9987" max="9987" width="13.28515625" style="13" customWidth="1"/>
    <col min="9988" max="9988" width="12.42578125" style="13" customWidth="1"/>
    <col min="9989" max="9993" width="11.140625" style="13" customWidth="1"/>
    <col min="9994" max="9994" width="14.42578125" style="13" customWidth="1"/>
    <col min="9995" max="9995" width="12.28515625" style="13" customWidth="1"/>
    <col min="9996" max="9996" width="13.28515625" style="13" customWidth="1"/>
    <col min="9997" max="9997" width="18.7109375" style="13" customWidth="1"/>
    <col min="9998" max="9998" width="21.5703125" style="13" customWidth="1"/>
    <col min="9999" max="9999" width="17.5703125" style="13" customWidth="1"/>
    <col min="10000" max="10001" width="15.85546875" style="13" customWidth="1"/>
    <col min="10002" max="10002" width="15.5703125" style="13" customWidth="1"/>
    <col min="10003" max="10239" width="9.140625" style="13"/>
    <col min="10240" max="10240" width="29.7109375" style="13" customWidth="1"/>
    <col min="10241" max="10242" width="21.28515625" style="13" customWidth="1"/>
    <col min="10243" max="10243" width="13.28515625" style="13" customWidth="1"/>
    <col min="10244" max="10244" width="12.42578125" style="13" customWidth="1"/>
    <col min="10245" max="10249" width="11.140625" style="13" customWidth="1"/>
    <col min="10250" max="10250" width="14.42578125" style="13" customWidth="1"/>
    <col min="10251" max="10251" width="12.28515625" style="13" customWidth="1"/>
    <col min="10252" max="10252" width="13.28515625" style="13" customWidth="1"/>
    <col min="10253" max="10253" width="18.7109375" style="13" customWidth="1"/>
    <col min="10254" max="10254" width="21.5703125" style="13" customWidth="1"/>
    <col min="10255" max="10255" width="17.5703125" style="13" customWidth="1"/>
    <col min="10256" max="10257" width="15.85546875" style="13" customWidth="1"/>
    <col min="10258" max="10258" width="15.5703125" style="13" customWidth="1"/>
    <col min="10259" max="10495" width="9.140625" style="13"/>
    <col min="10496" max="10496" width="29.7109375" style="13" customWidth="1"/>
    <col min="10497" max="10498" width="21.28515625" style="13" customWidth="1"/>
    <col min="10499" max="10499" width="13.28515625" style="13" customWidth="1"/>
    <col min="10500" max="10500" width="12.42578125" style="13" customWidth="1"/>
    <col min="10501" max="10505" width="11.140625" style="13" customWidth="1"/>
    <col min="10506" max="10506" width="14.42578125" style="13" customWidth="1"/>
    <col min="10507" max="10507" width="12.28515625" style="13" customWidth="1"/>
    <col min="10508" max="10508" width="13.28515625" style="13" customWidth="1"/>
    <col min="10509" max="10509" width="18.7109375" style="13" customWidth="1"/>
    <col min="10510" max="10510" width="21.5703125" style="13" customWidth="1"/>
    <col min="10511" max="10511" width="17.5703125" style="13" customWidth="1"/>
    <col min="10512" max="10513" width="15.85546875" style="13" customWidth="1"/>
    <col min="10514" max="10514" width="15.5703125" style="13" customWidth="1"/>
    <col min="10515" max="10751" width="9.140625" style="13"/>
    <col min="10752" max="10752" width="29.7109375" style="13" customWidth="1"/>
    <col min="10753" max="10754" width="21.28515625" style="13" customWidth="1"/>
    <col min="10755" max="10755" width="13.28515625" style="13" customWidth="1"/>
    <col min="10756" max="10756" width="12.42578125" style="13" customWidth="1"/>
    <col min="10757" max="10761" width="11.140625" style="13" customWidth="1"/>
    <col min="10762" max="10762" width="14.42578125" style="13" customWidth="1"/>
    <col min="10763" max="10763" width="12.28515625" style="13" customWidth="1"/>
    <col min="10764" max="10764" width="13.28515625" style="13" customWidth="1"/>
    <col min="10765" max="10765" width="18.7109375" style="13" customWidth="1"/>
    <col min="10766" max="10766" width="21.5703125" style="13" customWidth="1"/>
    <col min="10767" max="10767" width="17.5703125" style="13" customWidth="1"/>
    <col min="10768" max="10769" width="15.85546875" style="13" customWidth="1"/>
    <col min="10770" max="10770" width="15.5703125" style="13" customWidth="1"/>
    <col min="10771" max="11007" width="9.140625" style="13"/>
    <col min="11008" max="11008" width="29.7109375" style="13" customWidth="1"/>
    <col min="11009" max="11010" width="21.28515625" style="13" customWidth="1"/>
    <col min="11011" max="11011" width="13.28515625" style="13" customWidth="1"/>
    <col min="11012" max="11012" width="12.42578125" style="13" customWidth="1"/>
    <col min="11013" max="11017" width="11.140625" style="13" customWidth="1"/>
    <col min="11018" max="11018" width="14.42578125" style="13" customWidth="1"/>
    <col min="11019" max="11019" width="12.28515625" style="13" customWidth="1"/>
    <col min="11020" max="11020" width="13.28515625" style="13" customWidth="1"/>
    <col min="11021" max="11021" width="18.7109375" style="13" customWidth="1"/>
    <col min="11022" max="11022" width="21.5703125" style="13" customWidth="1"/>
    <col min="11023" max="11023" width="17.5703125" style="13" customWidth="1"/>
    <col min="11024" max="11025" width="15.85546875" style="13" customWidth="1"/>
    <col min="11026" max="11026" width="15.5703125" style="13" customWidth="1"/>
    <col min="11027" max="11263" width="9.140625" style="13"/>
    <col min="11264" max="11264" width="29.7109375" style="13" customWidth="1"/>
    <col min="11265" max="11266" width="21.28515625" style="13" customWidth="1"/>
    <col min="11267" max="11267" width="13.28515625" style="13" customWidth="1"/>
    <col min="11268" max="11268" width="12.42578125" style="13" customWidth="1"/>
    <col min="11269" max="11273" width="11.140625" style="13" customWidth="1"/>
    <col min="11274" max="11274" width="14.42578125" style="13" customWidth="1"/>
    <col min="11275" max="11275" width="12.28515625" style="13" customWidth="1"/>
    <col min="11276" max="11276" width="13.28515625" style="13" customWidth="1"/>
    <col min="11277" max="11277" width="18.7109375" style="13" customWidth="1"/>
    <col min="11278" max="11278" width="21.5703125" style="13" customWidth="1"/>
    <col min="11279" max="11279" width="17.5703125" style="13" customWidth="1"/>
    <col min="11280" max="11281" width="15.85546875" style="13" customWidth="1"/>
    <col min="11282" max="11282" width="15.5703125" style="13" customWidth="1"/>
    <col min="11283" max="11519" width="9.140625" style="13"/>
    <col min="11520" max="11520" width="29.7109375" style="13" customWidth="1"/>
    <col min="11521" max="11522" width="21.28515625" style="13" customWidth="1"/>
    <col min="11523" max="11523" width="13.28515625" style="13" customWidth="1"/>
    <col min="11524" max="11524" width="12.42578125" style="13" customWidth="1"/>
    <col min="11525" max="11529" width="11.140625" style="13" customWidth="1"/>
    <col min="11530" max="11530" width="14.42578125" style="13" customWidth="1"/>
    <col min="11531" max="11531" width="12.28515625" style="13" customWidth="1"/>
    <col min="11532" max="11532" width="13.28515625" style="13" customWidth="1"/>
    <col min="11533" max="11533" width="18.7109375" style="13" customWidth="1"/>
    <col min="11534" max="11534" width="21.5703125" style="13" customWidth="1"/>
    <col min="11535" max="11535" width="17.5703125" style="13" customWidth="1"/>
    <col min="11536" max="11537" width="15.85546875" style="13" customWidth="1"/>
    <col min="11538" max="11538" width="15.5703125" style="13" customWidth="1"/>
    <col min="11539" max="11775" width="9.140625" style="13"/>
    <col min="11776" max="11776" width="29.7109375" style="13" customWidth="1"/>
    <col min="11777" max="11778" width="21.28515625" style="13" customWidth="1"/>
    <col min="11779" max="11779" width="13.28515625" style="13" customWidth="1"/>
    <col min="11780" max="11780" width="12.42578125" style="13" customWidth="1"/>
    <col min="11781" max="11785" width="11.140625" style="13" customWidth="1"/>
    <col min="11786" max="11786" width="14.42578125" style="13" customWidth="1"/>
    <col min="11787" max="11787" width="12.28515625" style="13" customWidth="1"/>
    <col min="11788" max="11788" width="13.28515625" style="13" customWidth="1"/>
    <col min="11789" max="11789" width="18.7109375" style="13" customWidth="1"/>
    <col min="11790" max="11790" width="21.5703125" style="13" customWidth="1"/>
    <col min="11791" max="11791" width="17.5703125" style="13" customWidth="1"/>
    <col min="11792" max="11793" width="15.85546875" style="13" customWidth="1"/>
    <col min="11794" max="11794" width="15.5703125" style="13" customWidth="1"/>
    <col min="11795" max="12031" width="9.140625" style="13"/>
    <col min="12032" max="12032" width="29.7109375" style="13" customWidth="1"/>
    <col min="12033" max="12034" width="21.28515625" style="13" customWidth="1"/>
    <col min="12035" max="12035" width="13.28515625" style="13" customWidth="1"/>
    <col min="12036" max="12036" width="12.42578125" style="13" customWidth="1"/>
    <col min="12037" max="12041" width="11.140625" style="13" customWidth="1"/>
    <col min="12042" max="12042" width="14.42578125" style="13" customWidth="1"/>
    <col min="12043" max="12043" width="12.28515625" style="13" customWidth="1"/>
    <col min="12044" max="12044" width="13.28515625" style="13" customWidth="1"/>
    <col min="12045" max="12045" width="18.7109375" style="13" customWidth="1"/>
    <col min="12046" max="12046" width="21.5703125" style="13" customWidth="1"/>
    <col min="12047" max="12047" width="17.5703125" style="13" customWidth="1"/>
    <col min="12048" max="12049" width="15.85546875" style="13" customWidth="1"/>
    <col min="12050" max="12050" width="15.5703125" style="13" customWidth="1"/>
    <col min="12051" max="12287" width="9.140625" style="13"/>
    <col min="12288" max="12288" width="29.7109375" style="13" customWidth="1"/>
    <col min="12289" max="12290" width="21.28515625" style="13" customWidth="1"/>
    <col min="12291" max="12291" width="13.28515625" style="13" customWidth="1"/>
    <col min="12292" max="12292" width="12.42578125" style="13" customWidth="1"/>
    <col min="12293" max="12297" width="11.140625" style="13" customWidth="1"/>
    <col min="12298" max="12298" width="14.42578125" style="13" customWidth="1"/>
    <col min="12299" max="12299" width="12.28515625" style="13" customWidth="1"/>
    <col min="12300" max="12300" width="13.28515625" style="13" customWidth="1"/>
    <col min="12301" max="12301" width="18.7109375" style="13" customWidth="1"/>
    <col min="12302" max="12302" width="21.5703125" style="13" customWidth="1"/>
    <col min="12303" max="12303" width="17.5703125" style="13" customWidth="1"/>
    <col min="12304" max="12305" width="15.85546875" style="13" customWidth="1"/>
    <col min="12306" max="12306" width="15.5703125" style="13" customWidth="1"/>
    <col min="12307" max="12543" width="9.140625" style="13"/>
    <col min="12544" max="12544" width="29.7109375" style="13" customWidth="1"/>
    <col min="12545" max="12546" width="21.28515625" style="13" customWidth="1"/>
    <col min="12547" max="12547" width="13.28515625" style="13" customWidth="1"/>
    <col min="12548" max="12548" width="12.42578125" style="13" customWidth="1"/>
    <col min="12549" max="12553" width="11.140625" style="13" customWidth="1"/>
    <col min="12554" max="12554" width="14.42578125" style="13" customWidth="1"/>
    <col min="12555" max="12555" width="12.28515625" style="13" customWidth="1"/>
    <col min="12556" max="12556" width="13.28515625" style="13" customWidth="1"/>
    <col min="12557" max="12557" width="18.7109375" style="13" customWidth="1"/>
    <col min="12558" max="12558" width="21.5703125" style="13" customWidth="1"/>
    <col min="12559" max="12559" width="17.5703125" style="13" customWidth="1"/>
    <col min="12560" max="12561" width="15.85546875" style="13" customWidth="1"/>
    <col min="12562" max="12562" width="15.5703125" style="13" customWidth="1"/>
    <col min="12563" max="12799" width="9.140625" style="13"/>
    <col min="12800" max="12800" width="29.7109375" style="13" customWidth="1"/>
    <col min="12801" max="12802" width="21.28515625" style="13" customWidth="1"/>
    <col min="12803" max="12803" width="13.28515625" style="13" customWidth="1"/>
    <col min="12804" max="12804" width="12.42578125" style="13" customWidth="1"/>
    <col min="12805" max="12809" width="11.140625" style="13" customWidth="1"/>
    <col min="12810" max="12810" width="14.42578125" style="13" customWidth="1"/>
    <col min="12811" max="12811" width="12.28515625" style="13" customWidth="1"/>
    <col min="12812" max="12812" width="13.28515625" style="13" customWidth="1"/>
    <col min="12813" max="12813" width="18.7109375" style="13" customWidth="1"/>
    <col min="12814" max="12814" width="21.5703125" style="13" customWidth="1"/>
    <col min="12815" max="12815" width="17.5703125" style="13" customWidth="1"/>
    <col min="12816" max="12817" width="15.85546875" style="13" customWidth="1"/>
    <col min="12818" max="12818" width="15.5703125" style="13" customWidth="1"/>
    <col min="12819" max="13055" width="9.140625" style="13"/>
    <col min="13056" max="13056" width="29.7109375" style="13" customWidth="1"/>
    <col min="13057" max="13058" width="21.28515625" style="13" customWidth="1"/>
    <col min="13059" max="13059" width="13.28515625" style="13" customWidth="1"/>
    <col min="13060" max="13060" width="12.42578125" style="13" customWidth="1"/>
    <col min="13061" max="13065" width="11.140625" style="13" customWidth="1"/>
    <col min="13066" max="13066" width="14.42578125" style="13" customWidth="1"/>
    <col min="13067" max="13067" width="12.28515625" style="13" customWidth="1"/>
    <col min="13068" max="13068" width="13.28515625" style="13" customWidth="1"/>
    <col min="13069" max="13069" width="18.7109375" style="13" customWidth="1"/>
    <col min="13070" max="13070" width="21.5703125" style="13" customWidth="1"/>
    <col min="13071" max="13071" width="17.5703125" style="13" customWidth="1"/>
    <col min="13072" max="13073" width="15.85546875" style="13" customWidth="1"/>
    <col min="13074" max="13074" width="15.5703125" style="13" customWidth="1"/>
    <col min="13075" max="13311" width="9.140625" style="13"/>
    <col min="13312" max="13312" width="29.7109375" style="13" customWidth="1"/>
    <col min="13313" max="13314" width="21.28515625" style="13" customWidth="1"/>
    <col min="13315" max="13315" width="13.28515625" style="13" customWidth="1"/>
    <col min="13316" max="13316" width="12.42578125" style="13" customWidth="1"/>
    <col min="13317" max="13321" width="11.140625" style="13" customWidth="1"/>
    <col min="13322" max="13322" width="14.42578125" style="13" customWidth="1"/>
    <col min="13323" max="13323" width="12.28515625" style="13" customWidth="1"/>
    <col min="13324" max="13324" width="13.28515625" style="13" customWidth="1"/>
    <col min="13325" max="13325" width="18.7109375" style="13" customWidth="1"/>
    <col min="13326" max="13326" width="21.5703125" style="13" customWidth="1"/>
    <col min="13327" max="13327" width="17.5703125" style="13" customWidth="1"/>
    <col min="13328" max="13329" width="15.85546875" style="13" customWidth="1"/>
    <col min="13330" max="13330" width="15.5703125" style="13" customWidth="1"/>
    <col min="13331" max="13567" width="9.140625" style="13"/>
    <col min="13568" max="13568" width="29.7109375" style="13" customWidth="1"/>
    <col min="13569" max="13570" width="21.28515625" style="13" customWidth="1"/>
    <col min="13571" max="13571" width="13.28515625" style="13" customWidth="1"/>
    <col min="13572" max="13572" width="12.42578125" style="13" customWidth="1"/>
    <col min="13573" max="13577" width="11.140625" style="13" customWidth="1"/>
    <col min="13578" max="13578" width="14.42578125" style="13" customWidth="1"/>
    <col min="13579" max="13579" width="12.28515625" style="13" customWidth="1"/>
    <col min="13580" max="13580" width="13.28515625" style="13" customWidth="1"/>
    <col min="13581" max="13581" width="18.7109375" style="13" customWidth="1"/>
    <col min="13582" max="13582" width="21.5703125" style="13" customWidth="1"/>
    <col min="13583" max="13583" width="17.5703125" style="13" customWidth="1"/>
    <col min="13584" max="13585" width="15.85546875" style="13" customWidth="1"/>
    <col min="13586" max="13586" width="15.5703125" style="13" customWidth="1"/>
    <col min="13587" max="13823" width="9.140625" style="13"/>
    <col min="13824" max="13824" width="29.7109375" style="13" customWidth="1"/>
    <col min="13825" max="13826" width="21.28515625" style="13" customWidth="1"/>
    <col min="13827" max="13827" width="13.28515625" style="13" customWidth="1"/>
    <col min="13828" max="13828" width="12.42578125" style="13" customWidth="1"/>
    <col min="13829" max="13833" width="11.140625" style="13" customWidth="1"/>
    <col min="13834" max="13834" width="14.42578125" style="13" customWidth="1"/>
    <col min="13835" max="13835" width="12.28515625" style="13" customWidth="1"/>
    <col min="13836" max="13836" width="13.28515625" style="13" customWidth="1"/>
    <col min="13837" max="13837" width="18.7109375" style="13" customWidth="1"/>
    <col min="13838" max="13838" width="21.5703125" style="13" customWidth="1"/>
    <col min="13839" max="13839" width="17.5703125" style="13" customWidth="1"/>
    <col min="13840" max="13841" width="15.85546875" style="13" customWidth="1"/>
    <col min="13842" max="13842" width="15.5703125" style="13" customWidth="1"/>
    <col min="13843" max="14079" width="9.140625" style="13"/>
    <col min="14080" max="14080" width="29.7109375" style="13" customWidth="1"/>
    <col min="14081" max="14082" width="21.28515625" style="13" customWidth="1"/>
    <col min="14083" max="14083" width="13.28515625" style="13" customWidth="1"/>
    <col min="14084" max="14084" width="12.42578125" style="13" customWidth="1"/>
    <col min="14085" max="14089" width="11.140625" style="13" customWidth="1"/>
    <col min="14090" max="14090" width="14.42578125" style="13" customWidth="1"/>
    <col min="14091" max="14091" width="12.28515625" style="13" customWidth="1"/>
    <col min="14092" max="14092" width="13.28515625" style="13" customWidth="1"/>
    <col min="14093" max="14093" width="18.7109375" style="13" customWidth="1"/>
    <col min="14094" max="14094" width="21.5703125" style="13" customWidth="1"/>
    <col min="14095" max="14095" width="17.5703125" style="13" customWidth="1"/>
    <col min="14096" max="14097" width="15.85546875" style="13" customWidth="1"/>
    <col min="14098" max="14098" width="15.5703125" style="13" customWidth="1"/>
    <col min="14099" max="14335" width="9.140625" style="13"/>
    <col min="14336" max="14336" width="29.7109375" style="13" customWidth="1"/>
    <col min="14337" max="14338" width="21.28515625" style="13" customWidth="1"/>
    <col min="14339" max="14339" width="13.28515625" style="13" customWidth="1"/>
    <col min="14340" max="14340" width="12.42578125" style="13" customWidth="1"/>
    <col min="14341" max="14345" width="11.140625" style="13" customWidth="1"/>
    <col min="14346" max="14346" width="14.42578125" style="13" customWidth="1"/>
    <col min="14347" max="14347" width="12.28515625" style="13" customWidth="1"/>
    <col min="14348" max="14348" width="13.28515625" style="13" customWidth="1"/>
    <col min="14349" max="14349" width="18.7109375" style="13" customWidth="1"/>
    <col min="14350" max="14350" width="21.5703125" style="13" customWidth="1"/>
    <col min="14351" max="14351" width="17.5703125" style="13" customWidth="1"/>
    <col min="14352" max="14353" width="15.85546875" style="13" customWidth="1"/>
    <col min="14354" max="14354" width="15.5703125" style="13" customWidth="1"/>
    <col min="14355" max="14591" width="9.140625" style="13"/>
    <col min="14592" max="14592" width="29.7109375" style="13" customWidth="1"/>
    <col min="14593" max="14594" width="21.28515625" style="13" customWidth="1"/>
    <col min="14595" max="14595" width="13.28515625" style="13" customWidth="1"/>
    <col min="14596" max="14596" width="12.42578125" style="13" customWidth="1"/>
    <col min="14597" max="14601" width="11.140625" style="13" customWidth="1"/>
    <col min="14602" max="14602" width="14.42578125" style="13" customWidth="1"/>
    <col min="14603" max="14603" width="12.28515625" style="13" customWidth="1"/>
    <col min="14604" max="14604" width="13.28515625" style="13" customWidth="1"/>
    <col min="14605" max="14605" width="18.7109375" style="13" customWidth="1"/>
    <col min="14606" max="14606" width="21.5703125" style="13" customWidth="1"/>
    <col min="14607" max="14607" width="17.5703125" style="13" customWidth="1"/>
    <col min="14608" max="14609" width="15.85546875" style="13" customWidth="1"/>
    <col min="14610" max="14610" width="15.5703125" style="13" customWidth="1"/>
    <col min="14611" max="14847" width="9.140625" style="13"/>
    <col min="14848" max="14848" width="29.7109375" style="13" customWidth="1"/>
    <col min="14849" max="14850" width="21.28515625" style="13" customWidth="1"/>
    <col min="14851" max="14851" width="13.28515625" style="13" customWidth="1"/>
    <col min="14852" max="14852" width="12.42578125" style="13" customWidth="1"/>
    <col min="14853" max="14857" width="11.140625" style="13" customWidth="1"/>
    <col min="14858" max="14858" width="14.42578125" style="13" customWidth="1"/>
    <col min="14859" max="14859" width="12.28515625" style="13" customWidth="1"/>
    <col min="14860" max="14860" width="13.28515625" style="13" customWidth="1"/>
    <col min="14861" max="14861" width="18.7109375" style="13" customWidth="1"/>
    <col min="14862" max="14862" width="21.5703125" style="13" customWidth="1"/>
    <col min="14863" max="14863" width="17.5703125" style="13" customWidth="1"/>
    <col min="14864" max="14865" width="15.85546875" style="13" customWidth="1"/>
    <col min="14866" max="14866" width="15.5703125" style="13" customWidth="1"/>
    <col min="14867" max="15103" width="9.140625" style="13"/>
    <col min="15104" max="15104" width="29.7109375" style="13" customWidth="1"/>
    <col min="15105" max="15106" width="21.28515625" style="13" customWidth="1"/>
    <col min="15107" max="15107" width="13.28515625" style="13" customWidth="1"/>
    <col min="15108" max="15108" width="12.42578125" style="13" customWidth="1"/>
    <col min="15109" max="15113" width="11.140625" style="13" customWidth="1"/>
    <col min="15114" max="15114" width="14.42578125" style="13" customWidth="1"/>
    <col min="15115" max="15115" width="12.28515625" style="13" customWidth="1"/>
    <col min="15116" max="15116" width="13.28515625" style="13" customWidth="1"/>
    <col min="15117" max="15117" width="18.7109375" style="13" customWidth="1"/>
    <col min="15118" max="15118" width="21.5703125" style="13" customWidth="1"/>
    <col min="15119" max="15119" width="17.5703125" style="13" customWidth="1"/>
    <col min="15120" max="15121" width="15.85546875" style="13" customWidth="1"/>
    <col min="15122" max="15122" width="15.5703125" style="13" customWidth="1"/>
    <col min="15123" max="15359" width="9.140625" style="13"/>
    <col min="15360" max="15360" width="29.7109375" style="13" customWidth="1"/>
    <col min="15361" max="15362" width="21.28515625" style="13" customWidth="1"/>
    <col min="15363" max="15363" width="13.28515625" style="13" customWidth="1"/>
    <col min="15364" max="15364" width="12.42578125" style="13" customWidth="1"/>
    <col min="15365" max="15369" width="11.140625" style="13" customWidth="1"/>
    <col min="15370" max="15370" width="14.42578125" style="13" customWidth="1"/>
    <col min="15371" max="15371" width="12.28515625" style="13" customWidth="1"/>
    <col min="15372" max="15372" width="13.28515625" style="13" customWidth="1"/>
    <col min="15373" max="15373" width="18.7109375" style="13" customWidth="1"/>
    <col min="15374" max="15374" width="21.5703125" style="13" customWidth="1"/>
    <col min="15375" max="15375" width="17.5703125" style="13" customWidth="1"/>
    <col min="15376" max="15377" width="15.85546875" style="13" customWidth="1"/>
    <col min="15378" max="15378" width="15.5703125" style="13" customWidth="1"/>
    <col min="15379" max="15615" width="9.140625" style="13"/>
    <col min="15616" max="15616" width="29.7109375" style="13" customWidth="1"/>
    <col min="15617" max="15618" width="21.28515625" style="13" customWidth="1"/>
    <col min="15619" max="15619" width="13.28515625" style="13" customWidth="1"/>
    <col min="15620" max="15620" width="12.42578125" style="13" customWidth="1"/>
    <col min="15621" max="15625" width="11.140625" style="13" customWidth="1"/>
    <col min="15626" max="15626" width="14.42578125" style="13" customWidth="1"/>
    <col min="15627" max="15627" width="12.28515625" style="13" customWidth="1"/>
    <col min="15628" max="15628" width="13.28515625" style="13" customWidth="1"/>
    <col min="15629" max="15629" width="18.7109375" style="13" customWidth="1"/>
    <col min="15630" max="15630" width="21.5703125" style="13" customWidth="1"/>
    <col min="15631" max="15631" width="17.5703125" style="13" customWidth="1"/>
    <col min="15632" max="15633" width="15.85546875" style="13" customWidth="1"/>
    <col min="15634" max="15634" width="15.5703125" style="13" customWidth="1"/>
    <col min="15635" max="15871" width="9.140625" style="13"/>
    <col min="15872" max="15872" width="29.7109375" style="13" customWidth="1"/>
    <col min="15873" max="15874" width="21.28515625" style="13" customWidth="1"/>
    <col min="15875" max="15875" width="13.28515625" style="13" customWidth="1"/>
    <col min="15876" max="15876" width="12.42578125" style="13" customWidth="1"/>
    <col min="15877" max="15881" width="11.140625" style="13" customWidth="1"/>
    <col min="15882" max="15882" width="14.42578125" style="13" customWidth="1"/>
    <col min="15883" max="15883" width="12.28515625" style="13" customWidth="1"/>
    <col min="15884" max="15884" width="13.28515625" style="13" customWidth="1"/>
    <col min="15885" max="15885" width="18.7109375" style="13" customWidth="1"/>
    <col min="15886" max="15886" width="21.5703125" style="13" customWidth="1"/>
    <col min="15887" max="15887" width="17.5703125" style="13" customWidth="1"/>
    <col min="15888" max="15889" width="15.85546875" style="13" customWidth="1"/>
    <col min="15890" max="15890" width="15.5703125" style="13" customWidth="1"/>
    <col min="15891" max="16127" width="9.140625" style="13"/>
    <col min="16128" max="16128" width="29.7109375" style="13" customWidth="1"/>
    <col min="16129" max="16130" width="21.28515625" style="13" customWidth="1"/>
    <col min="16131" max="16131" width="13.28515625" style="13" customWidth="1"/>
    <col min="16132" max="16132" width="12.42578125" style="13" customWidth="1"/>
    <col min="16133" max="16137" width="11.140625" style="13" customWidth="1"/>
    <col min="16138" max="16138" width="14.42578125" style="13" customWidth="1"/>
    <col min="16139" max="16139" width="12.28515625" style="13" customWidth="1"/>
    <col min="16140" max="16140" width="13.28515625" style="13" customWidth="1"/>
    <col min="16141" max="16141" width="18.7109375" style="13" customWidth="1"/>
    <col min="16142" max="16142" width="21.5703125" style="13" customWidth="1"/>
    <col min="16143" max="16143" width="17.5703125" style="13" customWidth="1"/>
    <col min="16144" max="16145" width="15.85546875" style="13" customWidth="1"/>
    <col min="16146" max="16146" width="15.5703125" style="13" customWidth="1"/>
    <col min="16147" max="16384" width="9.140625" style="13"/>
  </cols>
  <sheetData>
    <row r="1" spans="1:18">
      <c r="E1" s="21"/>
      <c r="L1" s="17"/>
      <c r="M1" s="27"/>
      <c r="N1" s="27"/>
      <c r="O1" s="27"/>
      <c r="P1" s="27"/>
      <c r="Q1" s="27"/>
      <c r="R1" s="27"/>
    </row>
    <row r="2" spans="1:18">
      <c r="D2" s="28"/>
      <c r="E2" s="28"/>
      <c r="F2" s="28"/>
      <c r="G2" s="28"/>
      <c r="H2" s="28"/>
      <c r="I2" s="28"/>
      <c r="J2" s="28"/>
      <c r="K2" s="28"/>
      <c r="L2" s="28"/>
      <c r="M2" s="27"/>
      <c r="N2" s="27"/>
      <c r="O2" s="27"/>
      <c r="P2" s="27"/>
      <c r="Q2" s="27"/>
      <c r="R2" s="27"/>
    </row>
    <row r="3" spans="1:18" s="94" customFormat="1" ht="25.5">
      <c r="A3" s="92" t="s">
        <v>104</v>
      </c>
      <c r="B3" s="93" t="s">
        <v>105</v>
      </c>
      <c r="C3" s="93">
        <v>2009</v>
      </c>
      <c r="D3" s="93">
        <v>2010</v>
      </c>
      <c r="E3" s="93">
        <v>2011</v>
      </c>
      <c r="F3" s="93">
        <v>2012</v>
      </c>
      <c r="G3" s="93">
        <v>2013</v>
      </c>
      <c r="H3" s="93">
        <v>2014</v>
      </c>
      <c r="I3" s="93">
        <v>2015</v>
      </c>
      <c r="J3" s="93">
        <v>2016</v>
      </c>
      <c r="K3" s="93" t="s">
        <v>106</v>
      </c>
      <c r="L3" s="93" t="s">
        <v>107</v>
      </c>
      <c r="M3" s="93"/>
      <c r="N3" s="93"/>
      <c r="O3" s="93"/>
      <c r="P3" s="93"/>
      <c r="Q3" s="93"/>
      <c r="R3" s="93"/>
    </row>
    <row r="4" spans="1:18">
      <c r="A4" s="24" t="s">
        <v>108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0"/>
      <c r="N4" s="30"/>
      <c r="O4" s="30"/>
      <c r="P4" s="30"/>
      <c r="Q4" s="30"/>
      <c r="R4" s="30"/>
    </row>
    <row r="5" spans="1:18">
      <c r="A5" s="29" t="s">
        <v>109</v>
      </c>
      <c r="B5" s="31">
        <v>0</v>
      </c>
      <c r="C5" s="31">
        <v>116430</v>
      </c>
      <c r="D5" s="13">
        <v>255592</v>
      </c>
      <c r="E5" s="13">
        <v>255240</v>
      </c>
      <c r="F5" s="13">
        <v>255240</v>
      </c>
      <c r="G5" s="13">
        <v>255592</v>
      </c>
      <c r="H5" s="13">
        <v>255470</v>
      </c>
      <c r="I5" s="31">
        <v>255576</v>
      </c>
      <c r="J5" s="31">
        <f>'2015 projection'!I71</f>
        <v>255501</v>
      </c>
      <c r="K5" s="31">
        <f>SUM(C5:J5)</f>
        <v>1904641</v>
      </c>
      <c r="L5" s="31"/>
      <c r="M5" s="30"/>
      <c r="N5" s="30"/>
      <c r="O5" s="30"/>
      <c r="P5" s="30"/>
      <c r="Q5" s="30"/>
      <c r="R5" s="30"/>
    </row>
    <row r="6" spans="1:18">
      <c r="A6" s="24" t="s">
        <v>20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0"/>
      <c r="N6" s="30"/>
      <c r="O6" s="30"/>
      <c r="P6" s="30"/>
      <c r="Q6" s="30"/>
      <c r="R6" s="30"/>
    </row>
    <row r="7" spans="1:18">
      <c r="A7" s="17" t="s">
        <v>143</v>
      </c>
      <c r="B7" s="32">
        <v>500000</v>
      </c>
      <c r="C7" s="32"/>
      <c r="D7" s="31">
        <v>26000</v>
      </c>
      <c r="E7" s="31">
        <v>28000</v>
      </c>
      <c r="F7" s="31">
        <v>31000</v>
      </c>
      <c r="G7" s="31">
        <v>33000</v>
      </c>
      <c r="H7" s="31">
        <v>36000</v>
      </c>
      <c r="I7" s="31">
        <v>39000</v>
      </c>
      <c r="J7" s="31">
        <v>42000</v>
      </c>
      <c r="K7" s="31">
        <f t="shared" ref="K7:K17" si="0">SUM(C7:J7)</f>
        <v>235000</v>
      </c>
      <c r="L7" s="31">
        <f>B7-K7</f>
        <v>265000</v>
      </c>
      <c r="M7" s="30"/>
      <c r="N7" s="30"/>
      <c r="O7" s="30"/>
      <c r="P7" s="30"/>
      <c r="Q7" s="30"/>
      <c r="R7" s="30"/>
    </row>
    <row r="8" spans="1:18">
      <c r="A8" s="17" t="s">
        <v>110</v>
      </c>
      <c r="B8" s="32">
        <v>0</v>
      </c>
      <c r="C8" s="31">
        <v>18977</v>
      </c>
      <c r="D8" s="31">
        <v>45439</v>
      </c>
      <c r="E8" s="31">
        <v>39579</v>
      </c>
      <c r="F8" s="31">
        <v>37241</v>
      </c>
      <c r="G8" s="31">
        <v>17326</v>
      </c>
      <c r="H8" s="31"/>
      <c r="I8" s="31"/>
      <c r="J8" s="31"/>
      <c r="K8" s="31">
        <f t="shared" si="0"/>
        <v>158562</v>
      </c>
      <c r="L8" s="31"/>
      <c r="M8" s="30"/>
      <c r="N8" s="30"/>
      <c r="O8" s="30"/>
      <c r="P8" s="30"/>
      <c r="Q8" s="30"/>
      <c r="R8" s="30"/>
    </row>
    <row r="9" spans="1:18">
      <c r="A9" s="17" t="s">
        <v>111</v>
      </c>
      <c r="B9" s="32">
        <v>2000000</v>
      </c>
      <c r="C9" s="31">
        <v>6819</v>
      </c>
      <c r="D9" s="31">
        <v>84499</v>
      </c>
      <c r="E9" s="31">
        <v>86198</v>
      </c>
      <c r="F9" s="31">
        <v>87930</v>
      </c>
      <c r="G9" s="31">
        <v>89698</v>
      </c>
      <c r="H9" s="31">
        <v>91501</v>
      </c>
      <c r="I9" s="31">
        <v>93340</v>
      </c>
      <c r="J9" s="31">
        <v>95216</v>
      </c>
      <c r="K9" s="31">
        <f t="shared" si="0"/>
        <v>635201</v>
      </c>
      <c r="L9" s="31">
        <f>B9-K9</f>
        <v>1364799</v>
      </c>
      <c r="M9" s="30"/>
      <c r="N9" s="30"/>
      <c r="O9" s="30"/>
      <c r="P9" s="30"/>
      <c r="Q9" s="30"/>
      <c r="R9" s="30"/>
    </row>
    <row r="10" spans="1:18">
      <c r="A10" s="17" t="s">
        <v>112</v>
      </c>
      <c r="B10" s="32">
        <v>0</v>
      </c>
      <c r="C10" s="31">
        <v>10002</v>
      </c>
      <c r="D10" s="31">
        <v>42519</v>
      </c>
      <c r="E10" s="31">
        <v>37745</v>
      </c>
      <c r="F10" s="31">
        <v>36022</v>
      </c>
      <c r="G10" s="31">
        <v>34244</v>
      </c>
      <c r="H10" s="31">
        <v>32382</v>
      </c>
      <c r="I10" s="31">
        <v>30603</v>
      </c>
      <c r="J10" s="31">
        <v>28727</v>
      </c>
      <c r="K10" s="31">
        <f t="shared" si="0"/>
        <v>252244</v>
      </c>
      <c r="L10" s="31"/>
      <c r="M10" s="30"/>
      <c r="N10" s="30"/>
      <c r="O10" s="30"/>
      <c r="P10" s="30"/>
      <c r="Q10" s="30"/>
      <c r="R10" s="30"/>
    </row>
    <row r="11" spans="1:18">
      <c r="A11" s="17" t="s">
        <v>142</v>
      </c>
      <c r="B11" s="32"/>
      <c r="C11" s="31"/>
      <c r="D11" s="31"/>
      <c r="E11" s="31"/>
      <c r="F11" s="31"/>
      <c r="G11" s="31">
        <v>10375</v>
      </c>
      <c r="H11" s="31">
        <v>19100</v>
      </c>
      <c r="I11" s="31">
        <v>17300</v>
      </c>
      <c r="J11" s="31">
        <v>15350</v>
      </c>
      <c r="K11" s="31">
        <f t="shared" si="0"/>
        <v>62125</v>
      </c>
      <c r="L11" s="31"/>
      <c r="M11" s="30"/>
      <c r="N11" s="30"/>
      <c r="O11" s="30"/>
      <c r="P11" s="30"/>
      <c r="Q11" s="30"/>
      <c r="R11" s="30"/>
    </row>
    <row r="12" spans="1:18">
      <c r="A12" s="17" t="s">
        <v>173</v>
      </c>
      <c r="B12" s="32"/>
      <c r="C12" s="31"/>
      <c r="D12" s="31"/>
      <c r="E12" s="31"/>
      <c r="F12" s="31"/>
      <c r="G12" s="31">
        <v>12412</v>
      </c>
      <c r="H12" s="31">
        <v>1788</v>
      </c>
      <c r="I12" s="31">
        <v>16788</v>
      </c>
      <c r="J12" s="31"/>
      <c r="K12" s="31">
        <f t="shared" si="0"/>
        <v>30988</v>
      </c>
      <c r="L12" s="31"/>
      <c r="M12" s="30"/>
      <c r="N12" s="30"/>
      <c r="O12" s="30"/>
      <c r="P12" s="30"/>
      <c r="Q12" s="30"/>
      <c r="R12" s="30"/>
    </row>
    <row r="13" spans="1:18" ht="27" customHeight="1">
      <c r="A13" s="33" t="s">
        <v>153</v>
      </c>
      <c r="B13" s="34"/>
      <c r="C13" s="34"/>
      <c r="D13" s="16"/>
      <c r="E13" s="35"/>
      <c r="F13" s="35"/>
      <c r="G13" s="35"/>
      <c r="H13" s="35"/>
      <c r="I13" s="35"/>
      <c r="J13" s="35"/>
      <c r="K13" s="31">
        <f t="shared" si="0"/>
        <v>0</v>
      </c>
      <c r="L13" s="31"/>
      <c r="M13" s="36"/>
      <c r="N13" s="30"/>
      <c r="O13" s="30"/>
      <c r="P13" s="30"/>
      <c r="Q13" s="30"/>
      <c r="R13" s="30"/>
    </row>
    <row r="14" spans="1:18" ht="15.75" customHeight="1">
      <c r="A14" s="33" t="s">
        <v>113</v>
      </c>
      <c r="B14" s="34">
        <f>54573.5+17997</f>
        <v>72570.5</v>
      </c>
      <c r="C14" s="34"/>
      <c r="D14" s="34">
        <v>54573.5</v>
      </c>
      <c r="E14" s="37">
        <v>17997</v>
      </c>
      <c r="F14" s="35"/>
      <c r="G14" s="35"/>
      <c r="H14" s="35"/>
      <c r="I14" s="35"/>
      <c r="J14" s="35">
        <v>12000</v>
      </c>
      <c r="K14" s="31">
        <f t="shared" si="0"/>
        <v>84570.5</v>
      </c>
      <c r="L14" s="35"/>
      <c r="M14" s="36"/>
      <c r="N14" s="30"/>
      <c r="O14" s="30"/>
      <c r="P14" s="30"/>
      <c r="Q14" s="30"/>
      <c r="R14" s="30"/>
    </row>
    <row r="15" spans="1:18" ht="15.75" customHeight="1">
      <c r="A15" s="33" t="s">
        <v>127</v>
      </c>
      <c r="B15" s="34"/>
      <c r="C15" s="34"/>
      <c r="D15" s="34"/>
      <c r="E15" s="37"/>
      <c r="F15" s="35">
        <v>60000</v>
      </c>
      <c r="G15" s="35">
        <v>60000</v>
      </c>
      <c r="H15" s="35">
        <v>9129.32</v>
      </c>
      <c r="I15" s="35">
        <v>0</v>
      </c>
      <c r="J15" s="35">
        <v>40000</v>
      </c>
      <c r="K15" s="31">
        <f t="shared" si="0"/>
        <v>169129.32</v>
      </c>
      <c r="L15" s="35"/>
      <c r="M15" s="36"/>
      <c r="N15" s="30"/>
      <c r="O15" s="30"/>
      <c r="P15" s="30"/>
      <c r="Q15" s="30"/>
      <c r="R15" s="30"/>
    </row>
    <row r="16" spans="1:18" ht="27" customHeight="1">
      <c r="A16" s="33" t="s">
        <v>114</v>
      </c>
      <c r="B16" s="34">
        <v>167846</v>
      </c>
      <c r="C16" s="34"/>
      <c r="D16" s="34"/>
      <c r="E16" s="34">
        <v>25000</v>
      </c>
      <c r="F16" s="35"/>
      <c r="G16" s="35"/>
      <c r="H16" s="35">
        <v>60000</v>
      </c>
      <c r="I16" s="35">
        <v>55000</v>
      </c>
      <c r="J16" s="35">
        <v>20000</v>
      </c>
      <c r="K16" s="31">
        <f t="shared" si="0"/>
        <v>160000</v>
      </c>
      <c r="L16" s="35">
        <f t="shared" ref="L16" si="1">B16-K16</f>
        <v>7846</v>
      </c>
      <c r="M16" s="36"/>
      <c r="N16" s="30"/>
      <c r="O16" s="30"/>
      <c r="P16" s="30"/>
      <c r="Q16" s="30"/>
      <c r="R16" s="30"/>
    </row>
    <row r="17" spans="1:18">
      <c r="A17" s="33" t="s">
        <v>115</v>
      </c>
      <c r="B17" s="38">
        <f>SUM(B7:B16)</f>
        <v>2740416.5</v>
      </c>
      <c r="C17" s="38">
        <f>SUM(C7:C14)</f>
        <v>35798</v>
      </c>
      <c r="D17" s="38">
        <f>SUM(D7:D14)</f>
        <v>253030.5</v>
      </c>
      <c r="E17" s="38">
        <f t="shared" ref="E17:J17" si="2">SUM(E7:E16)</f>
        <v>234519</v>
      </c>
      <c r="F17" s="38">
        <f t="shared" si="2"/>
        <v>252193</v>
      </c>
      <c r="G17" s="38">
        <f t="shared" si="2"/>
        <v>257055</v>
      </c>
      <c r="H17" s="38">
        <f t="shared" si="2"/>
        <v>249900.32</v>
      </c>
      <c r="I17" s="38">
        <f t="shared" si="2"/>
        <v>252031</v>
      </c>
      <c r="J17" s="38">
        <f t="shared" si="2"/>
        <v>253293</v>
      </c>
      <c r="K17" s="31">
        <f t="shared" si="0"/>
        <v>1787819.82</v>
      </c>
      <c r="L17" s="35"/>
      <c r="M17" s="36"/>
      <c r="N17" s="30"/>
      <c r="O17" s="30"/>
      <c r="P17" s="30"/>
      <c r="Q17" s="30"/>
      <c r="R17" s="30"/>
    </row>
    <row r="18" spans="1:18">
      <c r="A18" s="33"/>
      <c r="B18" s="38"/>
      <c r="C18" s="38"/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30"/>
      <c r="O18" s="30"/>
      <c r="P18" s="30"/>
      <c r="Q18" s="30"/>
      <c r="R18" s="30"/>
    </row>
    <row r="19" spans="1:18">
      <c r="A19" s="39" t="s">
        <v>116</v>
      </c>
      <c r="B19" s="16"/>
      <c r="C19" s="31">
        <f>C5-C17</f>
        <v>80632</v>
      </c>
      <c r="D19" s="31">
        <f t="shared" ref="D19:J19" si="3">C19+D5-D17</f>
        <v>83193.5</v>
      </c>
      <c r="E19" s="31">
        <f t="shared" si="3"/>
        <v>103914.5</v>
      </c>
      <c r="F19" s="31">
        <f t="shared" si="3"/>
        <v>106961.5</v>
      </c>
      <c r="G19" s="31">
        <f t="shared" si="3"/>
        <v>105498.5</v>
      </c>
      <c r="H19" s="31">
        <f t="shared" si="3"/>
        <v>111068.18</v>
      </c>
      <c r="I19" s="31">
        <f t="shared" si="3"/>
        <v>114613.18</v>
      </c>
      <c r="J19" s="31">
        <f t="shared" si="3"/>
        <v>116821.18</v>
      </c>
      <c r="K19" s="31">
        <f>K5-SUM(K7:K16)</f>
        <v>116821.17999999993</v>
      </c>
      <c r="L19" s="31"/>
      <c r="M19" s="30"/>
      <c r="N19" s="30"/>
      <c r="O19" s="30"/>
      <c r="P19" s="30"/>
      <c r="Q19" s="30"/>
      <c r="R19" s="30"/>
    </row>
    <row r="20" spans="1:18">
      <c r="A20" s="39"/>
      <c r="B20" s="16"/>
      <c r="C20" s="16"/>
      <c r="D20" s="31"/>
      <c r="E20" s="31"/>
      <c r="F20" s="31"/>
      <c r="G20" s="31"/>
      <c r="H20" s="31"/>
      <c r="I20" s="31"/>
      <c r="J20" s="31"/>
      <c r="K20" s="31"/>
      <c r="L20" s="31"/>
      <c r="M20" s="30"/>
      <c r="N20" s="30"/>
      <c r="O20" s="30"/>
      <c r="P20" s="30"/>
      <c r="Q20" s="30"/>
      <c r="R20" s="30"/>
    </row>
    <row r="21" spans="1:18">
      <c r="A21" s="39"/>
      <c r="B21" s="16"/>
      <c r="C21" s="16"/>
      <c r="D21" s="31"/>
      <c r="E21" s="31"/>
      <c r="F21" s="31"/>
      <c r="G21" s="31"/>
      <c r="H21" s="31"/>
      <c r="I21" s="31"/>
      <c r="J21" s="31"/>
      <c r="K21" s="31"/>
      <c r="L21" s="31"/>
      <c r="M21" s="30"/>
      <c r="N21" s="30"/>
      <c r="O21" s="30"/>
      <c r="P21" s="30"/>
      <c r="Q21" s="30"/>
      <c r="R21" s="30"/>
    </row>
    <row r="22" spans="1:18" ht="12" customHeight="1">
      <c r="B22" s="16"/>
      <c r="C22" s="16"/>
      <c r="D22" s="16"/>
      <c r="E22" s="31"/>
      <c r="F22" s="31"/>
      <c r="G22" s="31"/>
      <c r="H22" s="31"/>
      <c r="I22" s="31"/>
      <c r="J22" s="31"/>
      <c r="K22" s="31"/>
      <c r="L22" s="31"/>
      <c r="M22" s="30"/>
      <c r="N22" s="30"/>
      <c r="O22" s="30"/>
      <c r="P22" s="30"/>
      <c r="Q22" s="30"/>
      <c r="R22" s="30"/>
    </row>
    <row r="23" spans="1:18" hidden="1">
      <c r="M23" s="27"/>
      <c r="N23" s="27"/>
      <c r="O23" s="27"/>
      <c r="P23" s="27"/>
      <c r="Q23" s="27"/>
      <c r="R23" s="27"/>
    </row>
    <row r="24" spans="1:18" hidden="1">
      <c r="A24" s="21" t="s">
        <v>105</v>
      </c>
      <c r="B24" s="21"/>
      <c r="C24" s="21"/>
      <c r="E24" s="27"/>
      <c r="L24" s="14"/>
      <c r="P24" s="27"/>
    </row>
    <row r="25" spans="1:18" hidden="1">
      <c r="A25" s="17" t="s">
        <v>117</v>
      </c>
      <c r="B25" s="17"/>
      <c r="C25" s="17"/>
      <c r="D25" s="14">
        <v>500000</v>
      </c>
      <c r="E25" s="17" t="s">
        <v>118</v>
      </c>
      <c r="M25" s="17"/>
      <c r="N25" s="17"/>
      <c r="O25" s="17"/>
    </row>
    <row r="26" spans="1:18" hidden="1">
      <c r="A26" s="17" t="s">
        <v>119</v>
      </c>
      <c r="B26" s="17"/>
      <c r="C26" s="17"/>
      <c r="D26" s="14">
        <v>2000000</v>
      </c>
      <c r="E26" s="17" t="s">
        <v>118</v>
      </c>
      <c r="M26" s="17"/>
      <c r="N26" s="17"/>
      <c r="O26" s="17"/>
    </row>
    <row r="27" spans="1:18" hidden="1">
      <c r="A27" s="17" t="s">
        <v>120</v>
      </c>
      <c r="B27" s="17"/>
      <c r="C27" s="17"/>
      <c r="D27" s="14">
        <v>-50000</v>
      </c>
      <c r="E27" s="17"/>
      <c r="M27" s="17"/>
      <c r="N27" s="17"/>
      <c r="O27" s="17"/>
    </row>
    <row r="28" spans="1:18" hidden="1">
      <c r="A28" s="40" t="s">
        <v>129</v>
      </c>
      <c r="B28" s="40"/>
      <c r="C28" s="40"/>
      <c r="D28" s="41">
        <v>167846</v>
      </c>
      <c r="E28" s="17"/>
      <c r="F28" s="42"/>
      <c r="G28" s="42"/>
      <c r="H28" s="42"/>
      <c r="I28" s="42"/>
      <c r="J28" s="42"/>
      <c r="K28" s="42"/>
      <c r="M28" s="17"/>
      <c r="N28" s="17"/>
      <c r="O28" s="17"/>
    </row>
    <row r="29" spans="1:18" hidden="1">
      <c r="A29" s="43" t="s">
        <v>121</v>
      </c>
      <c r="B29" s="40"/>
      <c r="C29" s="40"/>
      <c r="D29" s="41">
        <v>11300</v>
      </c>
      <c r="E29" s="17"/>
      <c r="F29" s="42"/>
      <c r="G29" s="41"/>
      <c r="H29" s="42"/>
      <c r="I29" s="42"/>
      <c r="J29" s="42"/>
      <c r="K29" s="42"/>
      <c r="M29" s="17"/>
      <c r="N29" s="17"/>
      <c r="O29" s="17"/>
    </row>
    <row r="30" spans="1:18" ht="25.5" hidden="1">
      <c r="A30" s="29" t="s">
        <v>122</v>
      </c>
      <c r="B30" s="29"/>
      <c r="C30" s="29"/>
      <c r="D30" s="42">
        <v>54573.5</v>
      </c>
      <c r="G30" s="34"/>
      <c r="H30" s="42"/>
      <c r="I30" s="42"/>
      <c r="J30" s="42"/>
      <c r="K30" s="42"/>
      <c r="M30" s="17"/>
      <c r="N30" s="17"/>
      <c r="O30" s="17"/>
    </row>
    <row r="31" spans="1:18" ht="25.5" hidden="1">
      <c r="A31" s="29" t="s">
        <v>128</v>
      </c>
      <c r="B31" s="29"/>
      <c r="C31" s="29"/>
      <c r="D31" s="42">
        <v>60000</v>
      </c>
      <c r="G31" s="34"/>
      <c r="H31" s="42"/>
      <c r="I31" s="42"/>
      <c r="J31" s="42"/>
      <c r="K31" s="42"/>
      <c r="M31" s="17"/>
      <c r="N31" s="17"/>
      <c r="O31" s="17"/>
    </row>
    <row r="32" spans="1:18" hidden="1">
      <c r="A32" s="29"/>
      <c r="B32" s="29"/>
      <c r="C32" s="29"/>
      <c r="D32" s="42"/>
      <c r="G32" s="34"/>
      <c r="H32" s="42"/>
      <c r="I32" s="42"/>
      <c r="J32" s="42"/>
      <c r="K32" s="42"/>
      <c r="M32" s="17"/>
      <c r="N32" s="17"/>
      <c r="O32" s="17"/>
    </row>
    <row r="33" spans="1:12" hidden="1">
      <c r="A33" s="43" t="s">
        <v>92</v>
      </c>
      <c r="B33" s="43"/>
      <c r="C33" s="43"/>
      <c r="D33" s="14">
        <f>SUM(D25:D31)</f>
        <v>2743719.5</v>
      </c>
    </row>
    <row r="34" spans="1:12" hidden="1">
      <c r="A34" s="43"/>
      <c r="B34" s="43"/>
      <c r="C34" s="43"/>
      <c r="E34" s="27"/>
      <c r="L34" s="14"/>
    </row>
    <row r="35" spans="1:12" ht="38.25" hidden="1">
      <c r="A35" s="44" t="s">
        <v>123</v>
      </c>
      <c r="C35" s="43"/>
      <c r="D35" s="41">
        <f>SUM(D27:D31)</f>
        <v>243719.5</v>
      </c>
      <c r="E35" s="27"/>
      <c r="L35" s="14"/>
    </row>
    <row r="36" spans="1:12" hidden="1"/>
    <row r="37" spans="1:12" hidden="1"/>
    <row r="38" spans="1:12" hidden="1"/>
  </sheetData>
  <pageMargins left="0.7" right="0.7" top="0.75" bottom="0.75" header="0.3" footer="0.3"/>
  <pageSetup scale="72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"/>
  <sheetViews>
    <sheetView workbookViewId="0">
      <selection activeCell="J5" sqref="J5"/>
    </sheetView>
  </sheetViews>
  <sheetFormatPr defaultRowHeight="12.75"/>
  <cols>
    <col min="1" max="1" width="29.5703125" style="13" customWidth="1"/>
    <col min="2" max="2" width="16" style="13" customWidth="1"/>
    <col min="3" max="3" width="11.7109375" style="13" customWidth="1"/>
    <col min="4" max="4" width="12.140625" style="13" customWidth="1"/>
    <col min="5" max="5" width="10.7109375" style="13" customWidth="1"/>
    <col min="6" max="6" width="11.85546875" style="13" customWidth="1"/>
    <col min="7" max="7" width="16.7109375" style="13" customWidth="1"/>
    <col min="8" max="8" width="15.85546875" style="13" customWidth="1"/>
    <col min="9" max="9" width="12.85546875" style="13" customWidth="1"/>
    <col min="10" max="10" width="14" style="13" customWidth="1"/>
    <col min="11" max="256" width="9.140625" style="13"/>
    <col min="257" max="257" width="29.5703125" style="13" customWidth="1"/>
    <col min="258" max="258" width="16" style="13" customWidth="1"/>
    <col min="259" max="259" width="11.7109375" style="13" customWidth="1"/>
    <col min="260" max="260" width="12.140625" style="13" customWidth="1"/>
    <col min="261" max="261" width="10.7109375" style="13" customWidth="1"/>
    <col min="262" max="262" width="11.85546875" style="13" customWidth="1"/>
    <col min="263" max="263" width="16.7109375" style="13" customWidth="1"/>
    <col min="264" max="512" width="9.140625" style="13"/>
    <col min="513" max="513" width="29.5703125" style="13" customWidth="1"/>
    <col min="514" max="514" width="16" style="13" customWidth="1"/>
    <col min="515" max="515" width="11.7109375" style="13" customWidth="1"/>
    <col min="516" max="516" width="12.140625" style="13" customWidth="1"/>
    <col min="517" max="517" width="10.7109375" style="13" customWidth="1"/>
    <col min="518" max="518" width="11.85546875" style="13" customWidth="1"/>
    <col min="519" max="519" width="16.7109375" style="13" customWidth="1"/>
    <col min="520" max="768" width="9.140625" style="13"/>
    <col min="769" max="769" width="29.5703125" style="13" customWidth="1"/>
    <col min="770" max="770" width="16" style="13" customWidth="1"/>
    <col min="771" max="771" width="11.7109375" style="13" customWidth="1"/>
    <col min="772" max="772" width="12.140625" style="13" customWidth="1"/>
    <col min="773" max="773" width="10.7109375" style="13" customWidth="1"/>
    <col min="774" max="774" width="11.85546875" style="13" customWidth="1"/>
    <col min="775" max="775" width="16.7109375" style="13" customWidth="1"/>
    <col min="776" max="1024" width="9.140625" style="13"/>
    <col min="1025" max="1025" width="29.5703125" style="13" customWidth="1"/>
    <col min="1026" max="1026" width="16" style="13" customWidth="1"/>
    <col min="1027" max="1027" width="11.7109375" style="13" customWidth="1"/>
    <col min="1028" max="1028" width="12.140625" style="13" customWidth="1"/>
    <col min="1029" max="1029" width="10.7109375" style="13" customWidth="1"/>
    <col min="1030" max="1030" width="11.85546875" style="13" customWidth="1"/>
    <col min="1031" max="1031" width="16.7109375" style="13" customWidth="1"/>
    <col min="1032" max="1280" width="9.140625" style="13"/>
    <col min="1281" max="1281" width="29.5703125" style="13" customWidth="1"/>
    <col min="1282" max="1282" width="16" style="13" customWidth="1"/>
    <col min="1283" max="1283" width="11.7109375" style="13" customWidth="1"/>
    <col min="1284" max="1284" width="12.140625" style="13" customWidth="1"/>
    <col min="1285" max="1285" width="10.7109375" style="13" customWidth="1"/>
    <col min="1286" max="1286" width="11.85546875" style="13" customWidth="1"/>
    <col min="1287" max="1287" width="16.7109375" style="13" customWidth="1"/>
    <col min="1288" max="1536" width="9.140625" style="13"/>
    <col min="1537" max="1537" width="29.5703125" style="13" customWidth="1"/>
    <col min="1538" max="1538" width="16" style="13" customWidth="1"/>
    <col min="1539" max="1539" width="11.7109375" style="13" customWidth="1"/>
    <col min="1540" max="1540" width="12.140625" style="13" customWidth="1"/>
    <col min="1541" max="1541" width="10.7109375" style="13" customWidth="1"/>
    <col min="1542" max="1542" width="11.85546875" style="13" customWidth="1"/>
    <col min="1543" max="1543" width="16.7109375" style="13" customWidth="1"/>
    <col min="1544" max="1792" width="9.140625" style="13"/>
    <col min="1793" max="1793" width="29.5703125" style="13" customWidth="1"/>
    <col min="1794" max="1794" width="16" style="13" customWidth="1"/>
    <col min="1795" max="1795" width="11.7109375" style="13" customWidth="1"/>
    <col min="1796" max="1796" width="12.140625" style="13" customWidth="1"/>
    <col min="1797" max="1797" width="10.7109375" style="13" customWidth="1"/>
    <col min="1798" max="1798" width="11.85546875" style="13" customWidth="1"/>
    <col min="1799" max="1799" width="16.7109375" style="13" customWidth="1"/>
    <col min="1800" max="2048" width="9.140625" style="13"/>
    <col min="2049" max="2049" width="29.5703125" style="13" customWidth="1"/>
    <col min="2050" max="2050" width="16" style="13" customWidth="1"/>
    <col min="2051" max="2051" width="11.7109375" style="13" customWidth="1"/>
    <col min="2052" max="2052" width="12.140625" style="13" customWidth="1"/>
    <col min="2053" max="2053" width="10.7109375" style="13" customWidth="1"/>
    <col min="2054" max="2054" width="11.85546875" style="13" customWidth="1"/>
    <col min="2055" max="2055" width="16.7109375" style="13" customWidth="1"/>
    <col min="2056" max="2304" width="9.140625" style="13"/>
    <col min="2305" max="2305" width="29.5703125" style="13" customWidth="1"/>
    <col min="2306" max="2306" width="16" style="13" customWidth="1"/>
    <col min="2307" max="2307" width="11.7109375" style="13" customWidth="1"/>
    <col min="2308" max="2308" width="12.140625" style="13" customWidth="1"/>
    <col min="2309" max="2309" width="10.7109375" style="13" customWidth="1"/>
    <col min="2310" max="2310" width="11.85546875" style="13" customWidth="1"/>
    <col min="2311" max="2311" width="16.7109375" style="13" customWidth="1"/>
    <col min="2312" max="2560" width="9.140625" style="13"/>
    <col min="2561" max="2561" width="29.5703125" style="13" customWidth="1"/>
    <col min="2562" max="2562" width="16" style="13" customWidth="1"/>
    <col min="2563" max="2563" width="11.7109375" style="13" customWidth="1"/>
    <col min="2564" max="2564" width="12.140625" style="13" customWidth="1"/>
    <col min="2565" max="2565" width="10.7109375" style="13" customWidth="1"/>
    <col min="2566" max="2566" width="11.85546875" style="13" customWidth="1"/>
    <col min="2567" max="2567" width="16.7109375" style="13" customWidth="1"/>
    <col min="2568" max="2816" width="9.140625" style="13"/>
    <col min="2817" max="2817" width="29.5703125" style="13" customWidth="1"/>
    <col min="2818" max="2818" width="16" style="13" customWidth="1"/>
    <col min="2819" max="2819" width="11.7109375" style="13" customWidth="1"/>
    <col min="2820" max="2820" width="12.140625" style="13" customWidth="1"/>
    <col min="2821" max="2821" width="10.7109375" style="13" customWidth="1"/>
    <col min="2822" max="2822" width="11.85546875" style="13" customWidth="1"/>
    <col min="2823" max="2823" width="16.7109375" style="13" customWidth="1"/>
    <col min="2824" max="3072" width="9.140625" style="13"/>
    <col min="3073" max="3073" width="29.5703125" style="13" customWidth="1"/>
    <col min="3074" max="3074" width="16" style="13" customWidth="1"/>
    <col min="3075" max="3075" width="11.7109375" style="13" customWidth="1"/>
    <col min="3076" max="3076" width="12.140625" style="13" customWidth="1"/>
    <col min="3077" max="3077" width="10.7109375" style="13" customWidth="1"/>
    <col min="3078" max="3078" width="11.85546875" style="13" customWidth="1"/>
    <col min="3079" max="3079" width="16.7109375" style="13" customWidth="1"/>
    <col min="3080" max="3328" width="9.140625" style="13"/>
    <col min="3329" max="3329" width="29.5703125" style="13" customWidth="1"/>
    <col min="3330" max="3330" width="16" style="13" customWidth="1"/>
    <col min="3331" max="3331" width="11.7109375" style="13" customWidth="1"/>
    <col min="3332" max="3332" width="12.140625" style="13" customWidth="1"/>
    <col min="3333" max="3333" width="10.7109375" style="13" customWidth="1"/>
    <col min="3334" max="3334" width="11.85546875" style="13" customWidth="1"/>
    <col min="3335" max="3335" width="16.7109375" style="13" customWidth="1"/>
    <col min="3336" max="3584" width="9.140625" style="13"/>
    <col min="3585" max="3585" width="29.5703125" style="13" customWidth="1"/>
    <col min="3586" max="3586" width="16" style="13" customWidth="1"/>
    <col min="3587" max="3587" width="11.7109375" style="13" customWidth="1"/>
    <col min="3588" max="3588" width="12.140625" style="13" customWidth="1"/>
    <col min="3589" max="3589" width="10.7109375" style="13" customWidth="1"/>
    <col min="3590" max="3590" width="11.85546875" style="13" customWidth="1"/>
    <col min="3591" max="3591" width="16.7109375" style="13" customWidth="1"/>
    <col min="3592" max="3840" width="9.140625" style="13"/>
    <col min="3841" max="3841" width="29.5703125" style="13" customWidth="1"/>
    <col min="3842" max="3842" width="16" style="13" customWidth="1"/>
    <col min="3843" max="3843" width="11.7109375" style="13" customWidth="1"/>
    <col min="3844" max="3844" width="12.140625" style="13" customWidth="1"/>
    <col min="3845" max="3845" width="10.7109375" style="13" customWidth="1"/>
    <col min="3846" max="3846" width="11.85546875" style="13" customWidth="1"/>
    <col min="3847" max="3847" width="16.7109375" style="13" customWidth="1"/>
    <col min="3848" max="4096" width="9.140625" style="13"/>
    <col min="4097" max="4097" width="29.5703125" style="13" customWidth="1"/>
    <col min="4098" max="4098" width="16" style="13" customWidth="1"/>
    <col min="4099" max="4099" width="11.7109375" style="13" customWidth="1"/>
    <col min="4100" max="4100" width="12.140625" style="13" customWidth="1"/>
    <col min="4101" max="4101" width="10.7109375" style="13" customWidth="1"/>
    <col min="4102" max="4102" width="11.85546875" style="13" customWidth="1"/>
    <col min="4103" max="4103" width="16.7109375" style="13" customWidth="1"/>
    <col min="4104" max="4352" width="9.140625" style="13"/>
    <col min="4353" max="4353" width="29.5703125" style="13" customWidth="1"/>
    <col min="4354" max="4354" width="16" style="13" customWidth="1"/>
    <col min="4355" max="4355" width="11.7109375" style="13" customWidth="1"/>
    <col min="4356" max="4356" width="12.140625" style="13" customWidth="1"/>
    <col min="4357" max="4357" width="10.7109375" style="13" customWidth="1"/>
    <col min="4358" max="4358" width="11.85546875" style="13" customWidth="1"/>
    <col min="4359" max="4359" width="16.7109375" style="13" customWidth="1"/>
    <col min="4360" max="4608" width="9.140625" style="13"/>
    <col min="4609" max="4609" width="29.5703125" style="13" customWidth="1"/>
    <col min="4610" max="4610" width="16" style="13" customWidth="1"/>
    <col min="4611" max="4611" width="11.7109375" style="13" customWidth="1"/>
    <col min="4612" max="4612" width="12.140625" style="13" customWidth="1"/>
    <col min="4613" max="4613" width="10.7109375" style="13" customWidth="1"/>
    <col min="4614" max="4614" width="11.85546875" style="13" customWidth="1"/>
    <col min="4615" max="4615" width="16.7109375" style="13" customWidth="1"/>
    <col min="4616" max="4864" width="9.140625" style="13"/>
    <col min="4865" max="4865" width="29.5703125" style="13" customWidth="1"/>
    <col min="4866" max="4866" width="16" style="13" customWidth="1"/>
    <col min="4867" max="4867" width="11.7109375" style="13" customWidth="1"/>
    <col min="4868" max="4868" width="12.140625" style="13" customWidth="1"/>
    <col min="4869" max="4869" width="10.7109375" style="13" customWidth="1"/>
    <col min="4870" max="4870" width="11.85546875" style="13" customWidth="1"/>
    <col min="4871" max="4871" width="16.7109375" style="13" customWidth="1"/>
    <col min="4872" max="5120" width="9.140625" style="13"/>
    <col min="5121" max="5121" width="29.5703125" style="13" customWidth="1"/>
    <col min="5122" max="5122" width="16" style="13" customWidth="1"/>
    <col min="5123" max="5123" width="11.7109375" style="13" customWidth="1"/>
    <col min="5124" max="5124" width="12.140625" style="13" customWidth="1"/>
    <col min="5125" max="5125" width="10.7109375" style="13" customWidth="1"/>
    <col min="5126" max="5126" width="11.85546875" style="13" customWidth="1"/>
    <col min="5127" max="5127" width="16.7109375" style="13" customWidth="1"/>
    <col min="5128" max="5376" width="9.140625" style="13"/>
    <col min="5377" max="5377" width="29.5703125" style="13" customWidth="1"/>
    <col min="5378" max="5378" width="16" style="13" customWidth="1"/>
    <col min="5379" max="5379" width="11.7109375" style="13" customWidth="1"/>
    <col min="5380" max="5380" width="12.140625" style="13" customWidth="1"/>
    <col min="5381" max="5381" width="10.7109375" style="13" customWidth="1"/>
    <col min="5382" max="5382" width="11.85546875" style="13" customWidth="1"/>
    <col min="5383" max="5383" width="16.7109375" style="13" customWidth="1"/>
    <col min="5384" max="5632" width="9.140625" style="13"/>
    <col min="5633" max="5633" width="29.5703125" style="13" customWidth="1"/>
    <col min="5634" max="5634" width="16" style="13" customWidth="1"/>
    <col min="5635" max="5635" width="11.7109375" style="13" customWidth="1"/>
    <col min="5636" max="5636" width="12.140625" style="13" customWidth="1"/>
    <col min="5637" max="5637" width="10.7109375" style="13" customWidth="1"/>
    <col min="5638" max="5638" width="11.85546875" style="13" customWidth="1"/>
    <col min="5639" max="5639" width="16.7109375" style="13" customWidth="1"/>
    <col min="5640" max="5888" width="9.140625" style="13"/>
    <col min="5889" max="5889" width="29.5703125" style="13" customWidth="1"/>
    <col min="5890" max="5890" width="16" style="13" customWidth="1"/>
    <col min="5891" max="5891" width="11.7109375" style="13" customWidth="1"/>
    <col min="5892" max="5892" width="12.140625" style="13" customWidth="1"/>
    <col min="5893" max="5893" width="10.7109375" style="13" customWidth="1"/>
    <col min="5894" max="5894" width="11.85546875" style="13" customWidth="1"/>
    <col min="5895" max="5895" width="16.7109375" style="13" customWidth="1"/>
    <col min="5896" max="6144" width="9.140625" style="13"/>
    <col min="6145" max="6145" width="29.5703125" style="13" customWidth="1"/>
    <col min="6146" max="6146" width="16" style="13" customWidth="1"/>
    <col min="6147" max="6147" width="11.7109375" style="13" customWidth="1"/>
    <col min="6148" max="6148" width="12.140625" style="13" customWidth="1"/>
    <col min="6149" max="6149" width="10.7109375" style="13" customWidth="1"/>
    <col min="6150" max="6150" width="11.85546875" style="13" customWidth="1"/>
    <col min="6151" max="6151" width="16.7109375" style="13" customWidth="1"/>
    <col min="6152" max="6400" width="9.140625" style="13"/>
    <col min="6401" max="6401" width="29.5703125" style="13" customWidth="1"/>
    <col min="6402" max="6402" width="16" style="13" customWidth="1"/>
    <col min="6403" max="6403" width="11.7109375" style="13" customWidth="1"/>
    <col min="6404" max="6404" width="12.140625" style="13" customWidth="1"/>
    <col min="6405" max="6405" width="10.7109375" style="13" customWidth="1"/>
    <col min="6406" max="6406" width="11.85546875" style="13" customWidth="1"/>
    <col min="6407" max="6407" width="16.7109375" style="13" customWidth="1"/>
    <col min="6408" max="6656" width="9.140625" style="13"/>
    <col min="6657" max="6657" width="29.5703125" style="13" customWidth="1"/>
    <col min="6658" max="6658" width="16" style="13" customWidth="1"/>
    <col min="6659" max="6659" width="11.7109375" style="13" customWidth="1"/>
    <col min="6660" max="6660" width="12.140625" style="13" customWidth="1"/>
    <col min="6661" max="6661" width="10.7109375" style="13" customWidth="1"/>
    <col min="6662" max="6662" width="11.85546875" style="13" customWidth="1"/>
    <col min="6663" max="6663" width="16.7109375" style="13" customWidth="1"/>
    <col min="6664" max="6912" width="9.140625" style="13"/>
    <col min="6913" max="6913" width="29.5703125" style="13" customWidth="1"/>
    <col min="6914" max="6914" width="16" style="13" customWidth="1"/>
    <col min="6915" max="6915" width="11.7109375" style="13" customWidth="1"/>
    <col min="6916" max="6916" width="12.140625" style="13" customWidth="1"/>
    <col min="6917" max="6917" width="10.7109375" style="13" customWidth="1"/>
    <col min="6918" max="6918" width="11.85546875" style="13" customWidth="1"/>
    <col min="6919" max="6919" width="16.7109375" style="13" customWidth="1"/>
    <col min="6920" max="7168" width="9.140625" style="13"/>
    <col min="7169" max="7169" width="29.5703125" style="13" customWidth="1"/>
    <col min="7170" max="7170" width="16" style="13" customWidth="1"/>
    <col min="7171" max="7171" width="11.7109375" style="13" customWidth="1"/>
    <col min="7172" max="7172" width="12.140625" style="13" customWidth="1"/>
    <col min="7173" max="7173" width="10.7109375" style="13" customWidth="1"/>
    <col min="7174" max="7174" width="11.85546875" style="13" customWidth="1"/>
    <col min="7175" max="7175" width="16.7109375" style="13" customWidth="1"/>
    <col min="7176" max="7424" width="9.140625" style="13"/>
    <col min="7425" max="7425" width="29.5703125" style="13" customWidth="1"/>
    <col min="7426" max="7426" width="16" style="13" customWidth="1"/>
    <col min="7427" max="7427" width="11.7109375" style="13" customWidth="1"/>
    <col min="7428" max="7428" width="12.140625" style="13" customWidth="1"/>
    <col min="7429" max="7429" width="10.7109375" style="13" customWidth="1"/>
    <col min="7430" max="7430" width="11.85546875" style="13" customWidth="1"/>
    <col min="7431" max="7431" width="16.7109375" style="13" customWidth="1"/>
    <col min="7432" max="7680" width="9.140625" style="13"/>
    <col min="7681" max="7681" width="29.5703125" style="13" customWidth="1"/>
    <col min="7682" max="7682" width="16" style="13" customWidth="1"/>
    <col min="7683" max="7683" width="11.7109375" style="13" customWidth="1"/>
    <col min="7684" max="7684" width="12.140625" style="13" customWidth="1"/>
    <col min="7685" max="7685" width="10.7109375" style="13" customWidth="1"/>
    <col min="7686" max="7686" width="11.85546875" style="13" customWidth="1"/>
    <col min="7687" max="7687" width="16.7109375" style="13" customWidth="1"/>
    <col min="7688" max="7936" width="9.140625" style="13"/>
    <col min="7937" max="7937" width="29.5703125" style="13" customWidth="1"/>
    <col min="7938" max="7938" width="16" style="13" customWidth="1"/>
    <col min="7939" max="7939" width="11.7109375" style="13" customWidth="1"/>
    <col min="7940" max="7940" width="12.140625" style="13" customWidth="1"/>
    <col min="7941" max="7941" width="10.7109375" style="13" customWidth="1"/>
    <col min="7942" max="7942" width="11.85546875" style="13" customWidth="1"/>
    <col min="7943" max="7943" width="16.7109375" style="13" customWidth="1"/>
    <col min="7944" max="8192" width="9.140625" style="13"/>
    <col min="8193" max="8193" width="29.5703125" style="13" customWidth="1"/>
    <col min="8194" max="8194" width="16" style="13" customWidth="1"/>
    <col min="8195" max="8195" width="11.7109375" style="13" customWidth="1"/>
    <col min="8196" max="8196" width="12.140625" style="13" customWidth="1"/>
    <col min="8197" max="8197" width="10.7109375" style="13" customWidth="1"/>
    <col min="8198" max="8198" width="11.85546875" style="13" customWidth="1"/>
    <col min="8199" max="8199" width="16.7109375" style="13" customWidth="1"/>
    <col min="8200" max="8448" width="9.140625" style="13"/>
    <col min="8449" max="8449" width="29.5703125" style="13" customWidth="1"/>
    <col min="8450" max="8450" width="16" style="13" customWidth="1"/>
    <col min="8451" max="8451" width="11.7109375" style="13" customWidth="1"/>
    <col min="8452" max="8452" width="12.140625" style="13" customWidth="1"/>
    <col min="8453" max="8453" width="10.7109375" style="13" customWidth="1"/>
    <col min="8454" max="8454" width="11.85546875" style="13" customWidth="1"/>
    <col min="8455" max="8455" width="16.7109375" style="13" customWidth="1"/>
    <col min="8456" max="8704" width="9.140625" style="13"/>
    <col min="8705" max="8705" width="29.5703125" style="13" customWidth="1"/>
    <col min="8706" max="8706" width="16" style="13" customWidth="1"/>
    <col min="8707" max="8707" width="11.7109375" style="13" customWidth="1"/>
    <col min="8708" max="8708" width="12.140625" style="13" customWidth="1"/>
    <col min="8709" max="8709" width="10.7109375" style="13" customWidth="1"/>
    <col min="8710" max="8710" width="11.85546875" style="13" customWidth="1"/>
    <col min="8711" max="8711" width="16.7109375" style="13" customWidth="1"/>
    <col min="8712" max="8960" width="9.140625" style="13"/>
    <col min="8961" max="8961" width="29.5703125" style="13" customWidth="1"/>
    <col min="8962" max="8962" width="16" style="13" customWidth="1"/>
    <col min="8963" max="8963" width="11.7109375" style="13" customWidth="1"/>
    <col min="8964" max="8964" width="12.140625" style="13" customWidth="1"/>
    <col min="8965" max="8965" width="10.7109375" style="13" customWidth="1"/>
    <col min="8966" max="8966" width="11.85546875" style="13" customWidth="1"/>
    <col min="8967" max="8967" width="16.7109375" style="13" customWidth="1"/>
    <col min="8968" max="9216" width="9.140625" style="13"/>
    <col min="9217" max="9217" width="29.5703125" style="13" customWidth="1"/>
    <col min="9218" max="9218" width="16" style="13" customWidth="1"/>
    <col min="9219" max="9219" width="11.7109375" style="13" customWidth="1"/>
    <col min="9220" max="9220" width="12.140625" style="13" customWidth="1"/>
    <col min="9221" max="9221" width="10.7109375" style="13" customWidth="1"/>
    <col min="9222" max="9222" width="11.85546875" style="13" customWidth="1"/>
    <col min="9223" max="9223" width="16.7109375" style="13" customWidth="1"/>
    <col min="9224" max="9472" width="9.140625" style="13"/>
    <col min="9473" max="9473" width="29.5703125" style="13" customWidth="1"/>
    <col min="9474" max="9474" width="16" style="13" customWidth="1"/>
    <col min="9475" max="9475" width="11.7109375" style="13" customWidth="1"/>
    <col min="9476" max="9476" width="12.140625" style="13" customWidth="1"/>
    <col min="9477" max="9477" width="10.7109375" style="13" customWidth="1"/>
    <col min="9478" max="9478" width="11.85546875" style="13" customWidth="1"/>
    <col min="9479" max="9479" width="16.7109375" style="13" customWidth="1"/>
    <col min="9480" max="9728" width="9.140625" style="13"/>
    <col min="9729" max="9729" width="29.5703125" style="13" customWidth="1"/>
    <col min="9730" max="9730" width="16" style="13" customWidth="1"/>
    <col min="9731" max="9731" width="11.7109375" style="13" customWidth="1"/>
    <col min="9732" max="9732" width="12.140625" style="13" customWidth="1"/>
    <col min="9733" max="9733" width="10.7109375" style="13" customWidth="1"/>
    <col min="9734" max="9734" width="11.85546875" style="13" customWidth="1"/>
    <col min="9735" max="9735" width="16.7109375" style="13" customWidth="1"/>
    <col min="9736" max="9984" width="9.140625" style="13"/>
    <col min="9985" max="9985" width="29.5703125" style="13" customWidth="1"/>
    <col min="9986" max="9986" width="16" style="13" customWidth="1"/>
    <col min="9987" max="9987" width="11.7109375" style="13" customWidth="1"/>
    <col min="9988" max="9988" width="12.140625" style="13" customWidth="1"/>
    <col min="9989" max="9989" width="10.7109375" style="13" customWidth="1"/>
    <col min="9990" max="9990" width="11.85546875" style="13" customWidth="1"/>
    <col min="9991" max="9991" width="16.7109375" style="13" customWidth="1"/>
    <col min="9992" max="10240" width="9.140625" style="13"/>
    <col min="10241" max="10241" width="29.5703125" style="13" customWidth="1"/>
    <col min="10242" max="10242" width="16" style="13" customWidth="1"/>
    <col min="10243" max="10243" width="11.7109375" style="13" customWidth="1"/>
    <col min="10244" max="10244" width="12.140625" style="13" customWidth="1"/>
    <col min="10245" max="10245" width="10.7109375" style="13" customWidth="1"/>
    <col min="10246" max="10246" width="11.85546875" style="13" customWidth="1"/>
    <col min="10247" max="10247" width="16.7109375" style="13" customWidth="1"/>
    <col min="10248" max="10496" width="9.140625" style="13"/>
    <col min="10497" max="10497" width="29.5703125" style="13" customWidth="1"/>
    <col min="10498" max="10498" width="16" style="13" customWidth="1"/>
    <col min="10499" max="10499" width="11.7109375" style="13" customWidth="1"/>
    <col min="10500" max="10500" width="12.140625" style="13" customWidth="1"/>
    <col min="10501" max="10501" width="10.7109375" style="13" customWidth="1"/>
    <col min="10502" max="10502" width="11.85546875" style="13" customWidth="1"/>
    <col min="10503" max="10503" width="16.7109375" style="13" customWidth="1"/>
    <col min="10504" max="10752" width="9.140625" style="13"/>
    <col min="10753" max="10753" width="29.5703125" style="13" customWidth="1"/>
    <col min="10754" max="10754" width="16" style="13" customWidth="1"/>
    <col min="10755" max="10755" width="11.7109375" style="13" customWidth="1"/>
    <col min="10756" max="10756" width="12.140625" style="13" customWidth="1"/>
    <col min="10757" max="10757" width="10.7109375" style="13" customWidth="1"/>
    <col min="10758" max="10758" width="11.85546875" style="13" customWidth="1"/>
    <col min="10759" max="10759" width="16.7109375" style="13" customWidth="1"/>
    <col min="10760" max="11008" width="9.140625" style="13"/>
    <col min="11009" max="11009" width="29.5703125" style="13" customWidth="1"/>
    <col min="11010" max="11010" width="16" style="13" customWidth="1"/>
    <col min="11011" max="11011" width="11.7109375" style="13" customWidth="1"/>
    <col min="11012" max="11012" width="12.140625" style="13" customWidth="1"/>
    <col min="11013" max="11013" width="10.7109375" style="13" customWidth="1"/>
    <col min="11014" max="11014" width="11.85546875" style="13" customWidth="1"/>
    <col min="11015" max="11015" width="16.7109375" style="13" customWidth="1"/>
    <col min="11016" max="11264" width="9.140625" style="13"/>
    <col min="11265" max="11265" width="29.5703125" style="13" customWidth="1"/>
    <col min="11266" max="11266" width="16" style="13" customWidth="1"/>
    <col min="11267" max="11267" width="11.7109375" style="13" customWidth="1"/>
    <col min="11268" max="11268" width="12.140625" style="13" customWidth="1"/>
    <col min="11269" max="11269" width="10.7109375" style="13" customWidth="1"/>
    <col min="11270" max="11270" width="11.85546875" style="13" customWidth="1"/>
    <col min="11271" max="11271" width="16.7109375" style="13" customWidth="1"/>
    <col min="11272" max="11520" width="9.140625" style="13"/>
    <col min="11521" max="11521" width="29.5703125" style="13" customWidth="1"/>
    <col min="11522" max="11522" width="16" style="13" customWidth="1"/>
    <col min="11523" max="11523" width="11.7109375" style="13" customWidth="1"/>
    <col min="11524" max="11524" width="12.140625" style="13" customWidth="1"/>
    <col min="11525" max="11525" width="10.7109375" style="13" customWidth="1"/>
    <col min="11526" max="11526" width="11.85546875" style="13" customWidth="1"/>
    <col min="11527" max="11527" width="16.7109375" style="13" customWidth="1"/>
    <col min="11528" max="11776" width="9.140625" style="13"/>
    <col min="11777" max="11777" width="29.5703125" style="13" customWidth="1"/>
    <col min="11778" max="11778" width="16" style="13" customWidth="1"/>
    <col min="11779" max="11779" width="11.7109375" style="13" customWidth="1"/>
    <col min="11780" max="11780" width="12.140625" style="13" customWidth="1"/>
    <col min="11781" max="11781" width="10.7109375" style="13" customWidth="1"/>
    <col min="11782" max="11782" width="11.85546875" style="13" customWidth="1"/>
    <col min="11783" max="11783" width="16.7109375" style="13" customWidth="1"/>
    <col min="11784" max="12032" width="9.140625" style="13"/>
    <col min="12033" max="12033" width="29.5703125" style="13" customWidth="1"/>
    <col min="12034" max="12034" width="16" style="13" customWidth="1"/>
    <col min="12035" max="12035" width="11.7109375" style="13" customWidth="1"/>
    <col min="12036" max="12036" width="12.140625" style="13" customWidth="1"/>
    <col min="12037" max="12037" width="10.7109375" style="13" customWidth="1"/>
    <col min="12038" max="12038" width="11.85546875" style="13" customWidth="1"/>
    <col min="12039" max="12039" width="16.7109375" style="13" customWidth="1"/>
    <col min="12040" max="12288" width="9.140625" style="13"/>
    <col min="12289" max="12289" width="29.5703125" style="13" customWidth="1"/>
    <col min="12290" max="12290" width="16" style="13" customWidth="1"/>
    <col min="12291" max="12291" width="11.7109375" style="13" customWidth="1"/>
    <col min="12292" max="12292" width="12.140625" style="13" customWidth="1"/>
    <col min="12293" max="12293" width="10.7109375" style="13" customWidth="1"/>
    <col min="12294" max="12294" width="11.85546875" style="13" customWidth="1"/>
    <col min="12295" max="12295" width="16.7109375" style="13" customWidth="1"/>
    <col min="12296" max="12544" width="9.140625" style="13"/>
    <col min="12545" max="12545" width="29.5703125" style="13" customWidth="1"/>
    <col min="12546" max="12546" width="16" style="13" customWidth="1"/>
    <col min="12547" max="12547" width="11.7109375" style="13" customWidth="1"/>
    <col min="12548" max="12548" width="12.140625" style="13" customWidth="1"/>
    <col min="12549" max="12549" width="10.7109375" style="13" customWidth="1"/>
    <col min="12550" max="12550" width="11.85546875" style="13" customWidth="1"/>
    <col min="12551" max="12551" width="16.7109375" style="13" customWidth="1"/>
    <col min="12552" max="12800" width="9.140625" style="13"/>
    <col min="12801" max="12801" width="29.5703125" style="13" customWidth="1"/>
    <col min="12802" max="12802" width="16" style="13" customWidth="1"/>
    <col min="12803" max="12803" width="11.7109375" style="13" customWidth="1"/>
    <col min="12804" max="12804" width="12.140625" style="13" customWidth="1"/>
    <col min="12805" max="12805" width="10.7109375" style="13" customWidth="1"/>
    <col min="12806" max="12806" width="11.85546875" style="13" customWidth="1"/>
    <col min="12807" max="12807" width="16.7109375" style="13" customWidth="1"/>
    <col min="12808" max="13056" width="9.140625" style="13"/>
    <col min="13057" max="13057" width="29.5703125" style="13" customWidth="1"/>
    <col min="13058" max="13058" width="16" style="13" customWidth="1"/>
    <col min="13059" max="13059" width="11.7109375" style="13" customWidth="1"/>
    <col min="13060" max="13060" width="12.140625" style="13" customWidth="1"/>
    <col min="13061" max="13061" width="10.7109375" style="13" customWidth="1"/>
    <col min="13062" max="13062" width="11.85546875" style="13" customWidth="1"/>
    <col min="13063" max="13063" width="16.7109375" style="13" customWidth="1"/>
    <col min="13064" max="13312" width="9.140625" style="13"/>
    <col min="13313" max="13313" width="29.5703125" style="13" customWidth="1"/>
    <col min="13314" max="13314" width="16" style="13" customWidth="1"/>
    <col min="13315" max="13315" width="11.7109375" style="13" customWidth="1"/>
    <col min="13316" max="13316" width="12.140625" style="13" customWidth="1"/>
    <col min="13317" max="13317" width="10.7109375" style="13" customWidth="1"/>
    <col min="13318" max="13318" width="11.85546875" style="13" customWidth="1"/>
    <col min="13319" max="13319" width="16.7109375" style="13" customWidth="1"/>
    <col min="13320" max="13568" width="9.140625" style="13"/>
    <col min="13569" max="13569" width="29.5703125" style="13" customWidth="1"/>
    <col min="13570" max="13570" width="16" style="13" customWidth="1"/>
    <col min="13571" max="13571" width="11.7109375" style="13" customWidth="1"/>
    <col min="13572" max="13572" width="12.140625" style="13" customWidth="1"/>
    <col min="13573" max="13573" width="10.7109375" style="13" customWidth="1"/>
    <col min="13574" max="13574" width="11.85546875" style="13" customWidth="1"/>
    <col min="13575" max="13575" width="16.7109375" style="13" customWidth="1"/>
    <col min="13576" max="13824" width="9.140625" style="13"/>
    <col min="13825" max="13825" width="29.5703125" style="13" customWidth="1"/>
    <col min="13826" max="13826" width="16" style="13" customWidth="1"/>
    <col min="13827" max="13827" width="11.7109375" style="13" customWidth="1"/>
    <col min="13828" max="13828" width="12.140625" style="13" customWidth="1"/>
    <col min="13829" max="13829" width="10.7109375" style="13" customWidth="1"/>
    <col min="13830" max="13830" width="11.85546875" style="13" customWidth="1"/>
    <col min="13831" max="13831" width="16.7109375" style="13" customWidth="1"/>
    <col min="13832" max="14080" width="9.140625" style="13"/>
    <col min="14081" max="14081" width="29.5703125" style="13" customWidth="1"/>
    <col min="14082" max="14082" width="16" style="13" customWidth="1"/>
    <col min="14083" max="14083" width="11.7109375" style="13" customWidth="1"/>
    <col min="14084" max="14084" width="12.140625" style="13" customWidth="1"/>
    <col min="14085" max="14085" width="10.7109375" style="13" customWidth="1"/>
    <col min="14086" max="14086" width="11.85546875" style="13" customWidth="1"/>
    <col min="14087" max="14087" width="16.7109375" style="13" customWidth="1"/>
    <col min="14088" max="14336" width="9.140625" style="13"/>
    <col min="14337" max="14337" width="29.5703125" style="13" customWidth="1"/>
    <col min="14338" max="14338" width="16" style="13" customWidth="1"/>
    <col min="14339" max="14339" width="11.7109375" style="13" customWidth="1"/>
    <col min="14340" max="14340" width="12.140625" style="13" customWidth="1"/>
    <col min="14341" max="14341" width="10.7109375" style="13" customWidth="1"/>
    <col min="14342" max="14342" width="11.85546875" style="13" customWidth="1"/>
    <col min="14343" max="14343" width="16.7109375" style="13" customWidth="1"/>
    <col min="14344" max="14592" width="9.140625" style="13"/>
    <col min="14593" max="14593" width="29.5703125" style="13" customWidth="1"/>
    <col min="14594" max="14594" width="16" style="13" customWidth="1"/>
    <col min="14595" max="14595" width="11.7109375" style="13" customWidth="1"/>
    <col min="14596" max="14596" width="12.140625" style="13" customWidth="1"/>
    <col min="14597" max="14597" width="10.7109375" style="13" customWidth="1"/>
    <col min="14598" max="14598" width="11.85546875" style="13" customWidth="1"/>
    <col min="14599" max="14599" width="16.7109375" style="13" customWidth="1"/>
    <col min="14600" max="14848" width="9.140625" style="13"/>
    <col min="14849" max="14849" width="29.5703125" style="13" customWidth="1"/>
    <col min="14850" max="14850" width="16" style="13" customWidth="1"/>
    <col min="14851" max="14851" width="11.7109375" style="13" customWidth="1"/>
    <col min="14852" max="14852" width="12.140625" style="13" customWidth="1"/>
    <col min="14853" max="14853" width="10.7109375" style="13" customWidth="1"/>
    <col min="14854" max="14854" width="11.85546875" style="13" customWidth="1"/>
    <col min="14855" max="14855" width="16.7109375" style="13" customWidth="1"/>
    <col min="14856" max="15104" width="9.140625" style="13"/>
    <col min="15105" max="15105" width="29.5703125" style="13" customWidth="1"/>
    <col min="15106" max="15106" width="16" style="13" customWidth="1"/>
    <col min="15107" max="15107" width="11.7109375" style="13" customWidth="1"/>
    <col min="15108" max="15108" width="12.140625" style="13" customWidth="1"/>
    <col min="15109" max="15109" width="10.7109375" style="13" customWidth="1"/>
    <col min="15110" max="15110" width="11.85546875" style="13" customWidth="1"/>
    <col min="15111" max="15111" width="16.7109375" style="13" customWidth="1"/>
    <col min="15112" max="15360" width="9.140625" style="13"/>
    <col min="15361" max="15361" width="29.5703125" style="13" customWidth="1"/>
    <col min="15362" max="15362" width="16" style="13" customWidth="1"/>
    <col min="15363" max="15363" width="11.7109375" style="13" customWidth="1"/>
    <col min="15364" max="15364" width="12.140625" style="13" customWidth="1"/>
    <col min="15365" max="15365" width="10.7109375" style="13" customWidth="1"/>
    <col min="15366" max="15366" width="11.85546875" style="13" customWidth="1"/>
    <col min="15367" max="15367" width="16.7109375" style="13" customWidth="1"/>
    <col min="15368" max="15616" width="9.140625" style="13"/>
    <col min="15617" max="15617" width="29.5703125" style="13" customWidth="1"/>
    <col min="15618" max="15618" width="16" style="13" customWidth="1"/>
    <col min="15619" max="15619" width="11.7109375" style="13" customWidth="1"/>
    <col min="15620" max="15620" width="12.140625" style="13" customWidth="1"/>
    <col min="15621" max="15621" width="10.7109375" style="13" customWidth="1"/>
    <col min="15622" max="15622" width="11.85546875" style="13" customWidth="1"/>
    <col min="15623" max="15623" width="16.7109375" style="13" customWidth="1"/>
    <col min="15624" max="15872" width="9.140625" style="13"/>
    <col min="15873" max="15873" width="29.5703125" style="13" customWidth="1"/>
    <col min="15874" max="15874" width="16" style="13" customWidth="1"/>
    <col min="15875" max="15875" width="11.7109375" style="13" customWidth="1"/>
    <col min="15876" max="15876" width="12.140625" style="13" customWidth="1"/>
    <col min="15877" max="15877" width="10.7109375" style="13" customWidth="1"/>
    <col min="15878" max="15878" width="11.85546875" style="13" customWidth="1"/>
    <col min="15879" max="15879" width="16.7109375" style="13" customWidth="1"/>
    <col min="15880" max="16128" width="9.140625" style="13"/>
    <col min="16129" max="16129" width="29.5703125" style="13" customWidth="1"/>
    <col min="16130" max="16130" width="16" style="13" customWidth="1"/>
    <col min="16131" max="16131" width="11.7109375" style="13" customWidth="1"/>
    <col min="16132" max="16132" width="12.140625" style="13" customWidth="1"/>
    <col min="16133" max="16133" width="10.7109375" style="13" customWidth="1"/>
    <col min="16134" max="16134" width="11.85546875" style="13" customWidth="1"/>
    <col min="16135" max="16135" width="16.7109375" style="13" customWidth="1"/>
    <col min="16136" max="16384" width="9.140625" style="13"/>
  </cols>
  <sheetData>
    <row r="2" spans="1:10">
      <c r="A2" s="24" t="s">
        <v>124</v>
      </c>
      <c r="B2" s="29"/>
      <c r="C2" s="29">
        <v>2009</v>
      </c>
      <c r="D2" s="29">
        <v>2010</v>
      </c>
      <c r="E2" s="29">
        <v>2011</v>
      </c>
      <c r="F2" s="29">
        <v>2012</v>
      </c>
      <c r="G2" s="29">
        <v>2013</v>
      </c>
      <c r="H2" s="13">
        <v>2014</v>
      </c>
      <c r="I2" s="13" t="s">
        <v>154</v>
      </c>
      <c r="J2" s="13" t="s">
        <v>171</v>
      </c>
    </row>
    <row r="3" spans="1:10">
      <c r="A3" s="24" t="s">
        <v>108</v>
      </c>
      <c r="B3" s="31"/>
      <c r="C3" s="31"/>
      <c r="D3" s="31"/>
      <c r="E3" s="31"/>
      <c r="F3" s="31"/>
      <c r="G3" s="31"/>
    </row>
    <row r="4" spans="1:10">
      <c r="A4" s="29" t="s">
        <v>125</v>
      </c>
      <c r="B4" s="31"/>
      <c r="C4" s="31">
        <v>12395</v>
      </c>
      <c r="D4" s="31">
        <v>29942.18</v>
      </c>
      <c r="E4" s="14">
        <v>59132.21</v>
      </c>
      <c r="F4" s="31">
        <v>72841</v>
      </c>
      <c r="G4" s="31">
        <v>56577</v>
      </c>
      <c r="H4" s="14">
        <v>43383</v>
      </c>
      <c r="I4" s="13">
        <v>47751</v>
      </c>
      <c r="J4" s="14">
        <f>'2015 projection'!I70</f>
        <v>48836</v>
      </c>
    </row>
    <row r="5" spans="1:10">
      <c r="A5" s="24" t="s">
        <v>20</v>
      </c>
      <c r="B5" s="31"/>
      <c r="C5" s="31"/>
      <c r="D5" s="31"/>
      <c r="E5" s="31"/>
      <c r="F5" s="31"/>
      <c r="G5" s="31"/>
      <c r="H5" s="14"/>
    </row>
    <row r="6" spans="1:10">
      <c r="A6" s="29" t="s">
        <v>126</v>
      </c>
      <c r="B6" s="31"/>
      <c r="C6" s="31">
        <v>8302</v>
      </c>
      <c r="D6" s="31">
        <v>23870.79</v>
      </c>
      <c r="E6" s="31">
        <v>55869.84</v>
      </c>
      <c r="F6" s="31">
        <v>69832</v>
      </c>
      <c r="G6" s="31">
        <v>73385</v>
      </c>
      <c r="H6" s="14">
        <v>55517</v>
      </c>
      <c r="I6" s="13">
        <v>34891</v>
      </c>
      <c r="J6" s="13">
        <v>35721</v>
      </c>
    </row>
    <row r="7" spans="1:10">
      <c r="A7" s="33"/>
      <c r="B7" s="38"/>
      <c r="C7" s="35"/>
      <c r="D7" s="35"/>
      <c r="E7" s="35"/>
      <c r="F7" s="35"/>
      <c r="G7" s="35"/>
      <c r="H7" s="14"/>
    </row>
    <row r="8" spans="1:10">
      <c r="A8" s="39" t="s">
        <v>116</v>
      </c>
      <c r="B8" s="16"/>
      <c r="C8" s="31">
        <f>C4-C6</f>
        <v>4093</v>
      </c>
      <c r="D8" s="31">
        <f t="shared" ref="D8:J8" si="0">C8+D4-D6</f>
        <v>10164.39</v>
      </c>
      <c r="E8" s="31">
        <f t="shared" si="0"/>
        <v>13426.760000000009</v>
      </c>
      <c r="F8" s="31">
        <f t="shared" si="0"/>
        <v>16435.760000000009</v>
      </c>
      <c r="G8" s="31">
        <f t="shared" si="0"/>
        <v>-372.23999999999069</v>
      </c>
      <c r="H8" s="68">
        <f t="shared" si="0"/>
        <v>-12506.239999999991</v>
      </c>
      <c r="I8" s="68">
        <f t="shared" si="0"/>
        <v>353.76000000000931</v>
      </c>
      <c r="J8" s="68">
        <f t="shared" si="0"/>
        <v>13468.760000000009</v>
      </c>
    </row>
  </sheetData>
  <pageMargins left="0.7" right="0.7" top="0.75" bottom="0.75" header="0.3" footer="0.3"/>
  <pageSetup scale="8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2016 Budget</vt:lpstr>
      <vt:lpstr>2016 Capital Impr</vt:lpstr>
      <vt:lpstr>Fund Bal Sum</vt:lpstr>
      <vt:lpstr>2015 projection</vt:lpstr>
      <vt:lpstr>2015 Budget vs Projection</vt:lpstr>
      <vt:lpstr>Payroll</vt:lpstr>
      <vt:lpstr>Acq  Fund</vt:lpstr>
      <vt:lpstr>Water Royalty 2016</vt:lpstr>
      <vt:lpstr>Sheet2</vt:lpstr>
      <vt:lpstr>Sheet3</vt:lpstr>
      <vt:lpstr>'2015 Budget vs Projection'!Print_Titles</vt:lpstr>
      <vt:lpstr>'2015 projection'!Print_Titles</vt:lpstr>
      <vt:lpstr>'2016 Budget'!Print_Titles</vt:lpstr>
    </vt:vector>
  </TitlesOfParts>
  <Company>ITX 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Fedele</dc:creator>
  <cp:lastModifiedBy>charles smith</cp:lastModifiedBy>
  <cp:lastPrinted>2015-10-13T20:05:50Z</cp:lastPrinted>
  <dcterms:created xsi:type="dcterms:W3CDTF">2012-10-08T15:05:51Z</dcterms:created>
  <dcterms:modified xsi:type="dcterms:W3CDTF">2015-12-16T21:50:43Z</dcterms:modified>
</cp:coreProperties>
</file>